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825" windowWidth="14805" windowHeight="7290" activeTab="13"/>
  </bookViews>
  <sheets>
    <sheet name="دلار" sheetId="69" r:id="rId1"/>
    <sheet name="AgentBased" sheetId="44" r:id="rId2"/>
    <sheet name="وسپه" sheetId="74" r:id="rId3"/>
    <sheet name="تاپیکو" sheetId="75" r:id="rId4"/>
    <sheet name="ومهان" sheetId="73" r:id="rId5"/>
    <sheet name="سهام بنیادی" sheetId="70" r:id="rId6"/>
    <sheet name="وغدیر" sheetId="60" r:id="rId7"/>
    <sheet name="مهدی" sheetId="72" r:id="rId8"/>
    <sheet name="فروردین 98" sheetId="58" r:id="rId9"/>
    <sheet name="سارا" sheetId="20" r:id="rId10"/>
    <sheet name="مسکن ایلیا" sheetId="15" r:id="rId11"/>
    <sheet name="مسکن مریم یاران" sheetId="13" r:id="rId12"/>
    <sheet name="برنامه 5 ساله" sheetId="18" r:id="rId13"/>
    <sheet name="خرید و فروش نسبتی" sheetId="63" r:id="rId14"/>
    <sheet name="نقدینگی" sheetId="71" r:id="rId15"/>
    <sheet name="بدهی خانه" sheetId="10" r:id="rId16"/>
    <sheet name="معاملات مرتبط" sheetId="68" r:id="rId17"/>
    <sheet name="خرید و فروش سکه فیزیکی" sheetId="52" r:id="rId18"/>
    <sheet name="مسکن علی سید الشهدا" sheetId="16" r:id="rId19"/>
    <sheet name="استراتژی جدید" sheetId="62" r:id="rId20"/>
    <sheet name="strategy" sheetId="49" r:id="rId21"/>
    <sheet name="مسکن مریم سید الشهدا" sheetId="14" r:id="rId22"/>
    <sheet name="سرمایه گذاری ها" sheetId="59" r:id="rId23"/>
    <sheet name="اردیبهشت95" sheetId="5" r:id="rId24"/>
    <sheet name="خرداد 95" sheetId="4" r:id="rId25"/>
    <sheet name="تیرماه95" sheetId="2" r:id="rId26"/>
    <sheet name="مرداد 95" sheetId="3" r:id="rId27"/>
    <sheet name="شهریور 95" sheetId="6" r:id="rId28"/>
    <sheet name="مهر 95" sheetId="7" r:id="rId29"/>
    <sheet name="آبان 95" sheetId="8" r:id="rId30"/>
    <sheet name="آذر 95" sheetId="9" r:id="rId31"/>
    <sheet name="دی 95" sheetId="11" r:id="rId32"/>
    <sheet name="بهمن 95" sheetId="12" r:id="rId33"/>
    <sheet name="اسفند 95" sheetId="17" r:id="rId34"/>
    <sheet name="فروردین 96" sheetId="19" r:id="rId35"/>
    <sheet name="اردیبهشت 96" sheetId="21" r:id="rId36"/>
    <sheet name="خرداد 96" sheetId="22" r:id="rId37"/>
    <sheet name="تیر 96" sheetId="23" r:id="rId38"/>
    <sheet name="مرداد 96" sheetId="24" r:id="rId39"/>
    <sheet name="شهریور 96" sheetId="25" r:id="rId40"/>
    <sheet name="مهر96" sheetId="26" r:id="rId41"/>
    <sheet name="آبان 96" sheetId="27" r:id="rId42"/>
    <sheet name="آذر 96" sheetId="28" r:id="rId43"/>
    <sheet name="دی 96" sheetId="29" r:id="rId44"/>
    <sheet name="بهمن 96" sheetId="30" r:id="rId45"/>
    <sheet name="اسفند 96" sheetId="31" r:id="rId46"/>
    <sheet name="فروردین 97" sheetId="34" r:id="rId47"/>
    <sheet name="اردیبهشت 97" sheetId="38" r:id="rId48"/>
    <sheet name="خرداد 97" sheetId="42" r:id="rId49"/>
    <sheet name="تیر97" sheetId="43" r:id="rId50"/>
    <sheet name="مرداد97" sheetId="45" r:id="rId51"/>
    <sheet name="شهریور97" sheetId="46" r:id="rId52"/>
    <sheet name="مهر97" sheetId="48" r:id="rId53"/>
    <sheet name="آبان97" sheetId="50" r:id="rId54"/>
    <sheet name="آذر 97" sheetId="51" r:id="rId55"/>
    <sheet name="دی 97" sheetId="54" r:id="rId56"/>
    <sheet name="بهمن 97" sheetId="55" r:id="rId57"/>
    <sheet name="اسفند97" sheetId="57" r:id="rId58"/>
    <sheet name="لیست خرید و فروش" sheetId="32" r:id="rId59"/>
    <sheet name="اوراق بدون ریسک" sheetId="33" r:id="rId60"/>
    <sheet name="نکات" sheetId="35" r:id="rId61"/>
    <sheet name="سکه" sheetId="36" r:id="rId62"/>
    <sheet name="apply" sheetId="37" r:id="rId63"/>
    <sheet name="بیمه" sheetId="39" r:id="rId64"/>
    <sheet name="آرشیو قیمت ارجینال" sheetId="40" r:id="rId65"/>
    <sheet name="تحلیل1" sheetId="41" r:id="rId66"/>
    <sheet name="Sheet1" sheetId="53" r:id="rId67"/>
    <sheet name="ومهان بورسی" sheetId="65" r:id="rId68"/>
    <sheet name="صبحانه" sheetId="56" r:id="rId69"/>
    <sheet name="شارژ ساختمان" sheetId="61" r:id="rId70"/>
    <sheet name="خرید خانه" sheetId="67" r:id="rId71"/>
  </sheets>
  <calcPr calcId="145621"/>
  <fileRecoveryPr repairLoad="1"/>
</workbook>
</file>

<file path=xl/calcChain.xml><?xml version="1.0" encoding="utf-8"?>
<calcChain xmlns="http://schemas.openxmlformats.org/spreadsheetml/2006/main">
  <c r="I68" i="63" l="1"/>
  <c r="F68" i="63"/>
  <c r="D30" i="60" l="1"/>
  <c r="Q28" i="18" l="1"/>
  <c r="L52" i="18"/>
  <c r="D58" i="63"/>
  <c r="D57" i="63"/>
  <c r="D23" i="63"/>
  <c r="C58" i="63"/>
  <c r="C57" i="63"/>
  <c r="C25" i="63"/>
  <c r="C24" i="63"/>
  <c r="C23" i="63"/>
  <c r="C22" i="63"/>
  <c r="C21" i="63"/>
  <c r="C20" i="63"/>
  <c r="C19" i="63"/>
  <c r="C18" i="63"/>
  <c r="C17" i="63"/>
  <c r="C16" i="63"/>
  <c r="C15" i="63"/>
  <c r="C14" i="63"/>
  <c r="C13" i="63"/>
  <c r="C12" i="63"/>
  <c r="C11" i="63"/>
  <c r="D25" i="63"/>
  <c r="D24" i="63"/>
  <c r="D22" i="63"/>
  <c r="D21" i="63"/>
  <c r="D20" i="63"/>
  <c r="D19" i="63"/>
  <c r="D18" i="63"/>
  <c r="D17" i="63"/>
  <c r="D16" i="63"/>
  <c r="D15" i="63"/>
  <c r="D14" i="63"/>
  <c r="D13" i="63"/>
  <c r="D12" i="63"/>
  <c r="D11" i="63"/>
  <c r="F3" i="63"/>
  <c r="F2" i="63"/>
  <c r="F1" i="63"/>
  <c r="W570" i="18"/>
  <c r="W571" i="18"/>
  <c r="W572" i="18"/>
  <c r="W569" i="18"/>
  <c r="Q2" i="63" l="1"/>
  <c r="R1" i="63" s="1"/>
  <c r="F65" i="63" l="1"/>
  <c r="F64" i="63"/>
  <c r="F25" i="63"/>
  <c r="F59" i="63"/>
  <c r="G59" i="63" s="1"/>
  <c r="F22" i="63"/>
  <c r="D62" i="63"/>
  <c r="F4" i="63"/>
  <c r="C46" i="63"/>
  <c r="C29" i="63"/>
  <c r="C33" i="63"/>
  <c r="C41" i="63"/>
  <c r="C49" i="63"/>
  <c r="C53" i="63"/>
  <c r="C61" i="63"/>
  <c r="F10" i="63"/>
  <c r="F14" i="63"/>
  <c r="D26" i="63"/>
  <c r="D34" i="63"/>
  <c r="D38" i="63"/>
  <c r="D46" i="63"/>
  <c r="D50" i="63"/>
  <c r="C26" i="63"/>
  <c r="C30" i="63"/>
  <c r="C34" i="63"/>
  <c r="C38" i="63"/>
  <c r="C42" i="63"/>
  <c r="C50" i="63"/>
  <c r="C54" i="63"/>
  <c r="C62" i="63"/>
  <c r="F7" i="63"/>
  <c r="F11" i="63"/>
  <c r="F15" i="63"/>
  <c r="F19" i="63"/>
  <c r="F23" i="63"/>
  <c r="D27" i="63"/>
  <c r="D31" i="63"/>
  <c r="D35" i="63"/>
  <c r="D39" i="63"/>
  <c r="D43" i="63"/>
  <c r="D47" i="63"/>
  <c r="D51" i="63"/>
  <c r="D55" i="63"/>
  <c r="C27" i="63"/>
  <c r="C31" i="63"/>
  <c r="C35" i="63"/>
  <c r="C39" i="63"/>
  <c r="C43" i="63"/>
  <c r="C47" i="63"/>
  <c r="C51" i="63"/>
  <c r="C55" i="63"/>
  <c r="F8" i="63"/>
  <c r="F12" i="63"/>
  <c r="F16" i="63"/>
  <c r="F20" i="63"/>
  <c r="F24" i="63"/>
  <c r="D28" i="63"/>
  <c r="D32" i="63"/>
  <c r="D36" i="63"/>
  <c r="D40" i="63"/>
  <c r="D44" i="63"/>
  <c r="D48" i="63"/>
  <c r="D52" i="63"/>
  <c r="D56" i="63"/>
  <c r="C28" i="63"/>
  <c r="C32" i="63"/>
  <c r="C36" i="63"/>
  <c r="C40" i="63"/>
  <c r="C44" i="63"/>
  <c r="C48" i="63"/>
  <c r="C52" i="63"/>
  <c r="C56" i="63"/>
  <c r="F5" i="63"/>
  <c r="F9" i="63"/>
  <c r="F13" i="63"/>
  <c r="F17" i="63"/>
  <c r="F21" i="63"/>
  <c r="D29" i="63"/>
  <c r="D33" i="63"/>
  <c r="D37" i="63"/>
  <c r="D41" i="63"/>
  <c r="D45" i="63"/>
  <c r="D49" i="63"/>
  <c r="D53" i="63"/>
  <c r="G53" i="63" s="1"/>
  <c r="D61" i="63"/>
  <c r="C37" i="63"/>
  <c r="C45" i="63"/>
  <c r="F6" i="63"/>
  <c r="F18" i="63"/>
  <c r="D30" i="63"/>
  <c r="D42" i="63"/>
  <c r="D54" i="63"/>
  <c r="I53" i="63"/>
  <c r="H53" i="63"/>
  <c r="O53" i="63"/>
  <c r="T146" i="18"/>
  <c r="T74" i="18"/>
  <c r="F20" i="60"/>
  <c r="D20" i="60"/>
  <c r="D5" i="60"/>
  <c r="H24" i="60"/>
  <c r="C15" i="60"/>
  <c r="G15" i="60"/>
  <c r="D47" i="60"/>
  <c r="J20" i="60"/>
  <c r="I15" i="60"/>
  <c r="J15" i="60" s="1"/>
  <c r="J38" i="60"/>
  <c r="H15" i="60"/>
  <c r="F15" i="60"/>
  <c r="D15" i="60"/>
  <c r="H47" i="60"/>
  <c r="G39" i="60"/>
  <c r="E39" i="60"/>
  <c r="C39" i="60"/>
  <c r="I39" i="60"/>
  <c r="G40" i="60"/>
  <c r="H40" i="60" s="1"/>
  <c r="E40" i="60"/>
  <c r="C40" i="60"/>
  <c r="D40" i="60" s="1"/>
  <c r="I40" i="60"/>
  <c r="H39" i="60"/>
  <c r="H43" i="60"/>
  <c r="H44" i="60"/>
  <c r="H45" i="60"/>
  <c r="F43" i="60"/>
  <c r="F44" i="60"/>
  <c r="F45" i="60"/>
  <c r="D39" i="60"/>
  <c r="D43" i="60"/>
  <c r="D44" i="60"/>
  <c r="D45" i="60"/>
  <c r="G38" i="60"/>
  <c r="H38" i="60" s="1"/>
  <c r="E38" i="60"/>
  <c r="F38" i="60" s="1"/>
  <c r="C38" i="60"/>
  <c r="D38" i="60" s="1"/>
  <c r="I38" i="60"/>
  <c r="G42" i="60"/>
  <c r="H42" i="60" s="1"/>
  <c r="E42" i="60"/>
  <c r="F42" i="60" s="1"/>
  <c r="C42" i="60"/>
  <c r="D42" i="60" s="1"/>
  <c r="I42" i="60"/>
  <c r="G41" i="60"/>
  <c r="H41" i="60" s="1"/>
  <c r="E41" i="60"/>
  <c r="F41" i="60" s="1"/>
  <c r="C41" i="60"/>
  <c r="D41" i="60" s="1"/>
  <c r="I41" i="60"/>
  <c r="G13" i="60"/>
  <c r="E13" i="60"/>
  <c r="C13" i="60"/>
  <c r="I13" i="60"/>
  <c r="G12" i="60"/>
  <c r="E12" i="60"/>
  <c r="C12" i="60"/>
  <c r="I12" i="60"/>
  <c r="G11" i="60"/>
  <c r="E11" i="60"/>
  <c r="C11" i="60"/>
  <c r="I11" i="60"/>
  <c r="G10" i="60"/>
  <c r="E10" i="60"/>
  <c r="C10" i="60"/>
  <c r="G9" i="60"/>
  <c r="E9" i="60"/>
  <c r="C9" i="60"/>
  <c r="I9" i="60"/>
  <c r="G8" i="60"/>
  <c r="E8" i="60"/>
  <c r="C8" i="60"/>
  <c r="I8" i="60"/>
  <c r="G7" i="60"/>
  <c r="E7" i="60"/>
  <c r="C7" i="60"/>
  <c r="G6" i="60"/>
  <c r="E6" i="60"/>
  <c r="C6" i="60"/>
  <c r="G5" i="60"/>
  <c r="E5" i="60"/>
  <c r="C5" i="60"/>
  <c r="G3" i="60"/>
  <c r="E3" i="60"/>
  <c r="C3" i="60"/>
  <c r="G2" i="60"/>
  <c r="E2" i="60"/>
  <c r="C2" i="60"/>
  <c r="I10" i="60"/>
  <c r="I7" i="60"/>
  <c r="I6" i="60"/>
  <c r="I5" i="60"/>
  <c r="I3" i="60"/>
  <c r="I2" i="60"/>
  <c r="J53" i="63" l="1"/>
  <c r="K53" i="63" s="1"/>
  <c r="J40" i="60"/>
  <c r="F40" i="60"/>
  <c r="J42" i="60"/>
  <c r="J41" i="60"/>
  <c r="J39" i="60"/>
  <c r="F39" i="60"/>
  <c r="F47" i="60" s="1"/>
  <c r="J22" i="74"/>
  <c r="H22" i="74"/>
  <c r="F22" i="74"/>
  <c r="D22" i="74"/>
  <c r="J21" i="74"/>
  <c r="H21" i="74"/>
  <c r="F21" i="74"/>
  <c r="D21" i="74"/>
  <c r="J20" i="74"/>
  <c r="H20" i="74"/>
  <c r="F20" i="74"/>
  <c r="D20" i="74"/>
  <c r="J19" i="74"/>
  <c r="H19" i="74"/>
  <c r="F19" i="74"/>
  <c r="D19" i="74"/>
  <c r="J18" i="74"/>
  <c r="H18" i="74"/>
  <c r="F18" i="74"/>
  <c r="D18" i="74"/>
  <c r="J17" i="74"/>
  <c r="H17" i="74"/>
  <c r="F17" i="74"/>
  <c r="D17" i="74"/>
  <c r="J16" i="74"/>
  <c r="H16" i="74"/>
  <c r="F16" i="74"/>
  <c r="D16" i="74"/>
  <c r="J15" i="74"/>
  <c r="H15" i="74"/>
  <c r="F15" i="74"/>
  <c r="D15" i="74"/>
  <c r="J14" i="74"/>
  <c r="H14" i="74"/>
  <c r="F14" i="74"/>
  <c r="D14" i="74"/>
  <c r="J13" i="74"/>
  <c r="H13" i="74"/>
  <c r="F13" i="74"/>
  <c r="D13" i="74"/>
  <c r="J12" i="74"/>
  <c r="H12" i="74"/>
  <c r="F12" i="74"/>
  <c r="D12" i="74"/>
  <c r="J11" i="74"/>
  <c r="H11" i="74"/>
  <c r="F11" i="74"/>
  <c r="D11" i="74"/>
  <c r="J10" i="74"/>
  <c r="H10" i="74"/>
  <c r="F10" i="74"/>
  <c r="D10" i="74"/>
  <c r="J9" i="74"/>
  <c r="H9" i="74"/>
  <c r="F9" i="74"/>
  <c r="D9" i="74"/>
  <c r="J8" i="74"/>
  <c r="H8" i="74"/>
  <c r="F8" i="74"/>
  <c r="D8" i="74"/>
  <c r="J7" i="74"/>
  <c r="H7" i="74"/>
  <c r="F7" i="74"/>
  <c r="D7" i="74"/>
  <c r="J6" i="74"/>
  <c r="H6" i="74"/>
  <c r="F6" i="74"/>
  <c r="D6" i="74"/>
  <c r="J5" i="74"/>
  <c r="H5" i="74"/>
  <c r="F5" i="74"/>
  <c r="D5" i="74"/>
  <c r="J4" i="74"/>
  <c r="H4" i="74"/>
  <c r="F4" i="74"/>
  <c r="D4" i="74"/>
  <c r="J3" i="74"/>
  <c r="H3" i="74"/>
  <c r="H24" i="74" s="1"/>
  <c r="F3" i="74"/>
  <c r="F24" i="74" s="1"/>
  <c r="D3" i="74"/>
  <c r="J2" i="74"/>
  <c r="J24" i="74" s="1"/>
  <c r="J26" i="74" s="1"/>
  <c r="H2" i="74"/>
  <c r="F2" i="74"/>
  <c r="D2" i="74"/>
  <c r="D24" i="74" s="1"/>
  <c r="J21" i="75"/>
  <c r="H21" i="75"/>
  <c r="F21" i="75"/>
  <c r="D21" i="75"/>
  <c r="J20" i="75"/>
  <c r="H20" i="75"/>
  <c r="F20" i="75"/>
  <c r="D20" i="75"/>
  <c r="J19" i="75"/>
  <c r="H19" i="75"/>
  <c r="F19" i="75"/>
  <c r="D19" i="75"/>
  <c r="J18" i="75"/>
  <c r="H18" i="75"/>
  <c r="F18" i="75"/>
  <c r="D18" i="75"/>
  <c r="J17" i="75"/>
  <c r="H17" i="75"/>
  <c r="F17" i="75"/>
  <c r="D17" i="75"/>
  <c r="J16" i="75"/>
  <c r="H16" i="75"/>
  <c r="F16" i="75"/>
  <c r="D16" i="75"/>
  <c r="J15" i="75"/>
  <c r="H15" i="75"/>
  <c r="F15" i="75"/>
  <c r="D15" i="75"/>
  <c r="J14" i="75"/>
  <c r="H14" i="75"/>
  <c r="F14" i="75"/>
  <c r="D14" i="75"/>
  <c r="J13" i="75"/>
  <c r="H13" i="75"/>
  <c r="F13" i="75"/>
  <c r="D13" i="75"/>
  <c r="J12" i="75"/>
  <c r="H12" i="75"/>
  <c r="F12" i="75"/>
  <c r="D12" i="75"/>
  <c r="J11" i="75"/>
  <c r="H11" i="75"/>
  <c r="F11" i="75"/>
  <c r="D11" i="75"/>
  <c r="J10" i="75"/>
  <c r="H10" i="75"/>
  <c r="F10" i="75"/>
  <c r="D10" i="75"/>
  <c r="J9" i="75"/>
  <c r="H9" i="75"/>
  <c r="F9" i="75"/>
  <c r="D9" i="75"/>
  <c r="J8" i="75"/>
  <c r="H8" i="75"/>
  <c r="F8" i="75"/>
  <c r="D8" i="75"/>
  <c r="J7" i="75"/>
  <c r="H7" i="75"/>
  <c r="F7" i="75"/>
  <c r="D7" i="75"/>
  <c r="J6" i="75"/>
  <c r="H6" i="75"/>
  <c r="F6" i="75"/>
  <c r="D6" i="75"/>
  <c r="J5" i="75"/>
  <c r="H5" i="75"/>
  <c r="F5" i="75"/>
  <c r="D5" i="75"/>
  <c r="J4" i="75"/>
  <c r="H4" i="75"/>
  <c r="F4" i="75"/>
  <c r="D4" i="75"/>
  <c r="J3" i="75"/>
  <c r="H3" i="75"/>
  <c r="F3" i="75"/>
  <c r="F23" i="75" s="1"/>
  <c r="D3" i="75"/>
  <c r="J2" i="75"/>
  <c r="J23" i="75" s="1"/>
  <c r="J25" i="75" s="1"/>
  <c r="H2" i="75"/>
  <c r="H23" i="75" s="1"/>
  <c r="F2" i="75"/>
  <c r="D2" i="75"/>
  <c r="D23" i="75" s="1"/>
  <c r="L15" i="73"/>
  <c r="L14" i="73"/>
  <c r="K14" i="73"/>
  <c r="J14" i="73"/>
  <c r="H14" i="73"/>
  <c r="F14" i="73"/>
  <c r="D14" i="73"/>
  <c r="L13" i="73"/>
  <c r="K13" i="73"/>
  <c r="J13" i="73"/>
  <c r="H13" i="73"/>
  <c r="F13" i="73"/>
  <c r="D13" i="73"/>
  <c r="K12" i="73"/>
  <c r="L12" i="73" s="1"/>
  <c r="J12" i="73"/>
  <c r="H12" i="73"/>
  <c r="F12" i="73"/>
  <c r="D12" i="73"/>
  <c r="K11" i="73"/>
  <c r="L11" i="73" s="1"/>
  <c r="J11" i="73"/>
  <c r="H11" i="73"/>
  <c r="F11" i="73"/>
  <c r="D11" i="73"/>
  <c r="L10" i="73"/>
  <c r="K10" i="73"/>
  <c r="J10" i="73"/>
  <c r="H10" i="73"/>
  <c r="F10" i="73"/>
  <c r="D10" i="73"/>
  <c r="L9" i="73"/>
  <c r="K9" i="73"/>
  <c r="J9" i="73"/>
  <c r="H9" i="73"/>
  <c r="F9" i="73"/>
  <c r="D9" i="73"/>
  <c r="K8" i="73"/>
  <c r="L8" i="73" s="1"/>
  <c r="J8" i="73"/>
  <c r="H8" i="73"/>
  <c r="F8" i="73"/>
  <c r="D8" i="73"/>
  <c r="K7" i="73"/>
  <c r="L7" i="73" s="1"/>
  <c r="J7" i="73"/>
  <c r="H7" i="73"/>
  <c r="F7" i="73"/>
  <c r="D7" i="73"/>
  <c r="L6" i="73"/>
  <c r="K6" i="73"/>
  <c r="J6" i="73"/>
  <c r="H6" i="73"/>
  <c r="F6" i="73"/>
  <c r="D6" i="73"/>
  <c r="L5" i="73"/>
  <c r="K5" i="73"/>
  <c r="J5" i="73"/>
  <c r="H5" i="73"/>
  <c r="F5" i="73"/>
  <c r="D5" i="73"/>
  <c r="K4" i="73"/>
  <c r="L4" i="73" s="1"/>
  <c r="J4" i="73"/>
  <c r="H4" i="73"/>
  <c r="F4" i="73"/>
  <c r="D4" i="73"/>
  <c r="L3" i="73"/>
  <c r="J3" i="73"/>
  <c r="J16" i="73" s="1"/>
  <c r="J18" i="73" s="1"/>
  <c r="H3" i="73"/>
  <c r="H16" i="73" s="1"/>
  <c r="F3" i="73"/>
  <c r="F16" i="73" s="1"/>
  <c r="D3" i="73"/>
  <c r="D16" i="73" s="1"/>
  <c r="K2" i="73"/>
  <c r="L2" i="73" s="1"/>
  <c r="J2" i="73"/>
  <c r="H2" i="73"/>
  <c r="F2" i="73"/>
  <c r="D2" i="73"/>
  <c r="D139" i="72"/>
  <c r="B144" i="72"/>
  <c r="D143" i="72"/>
  <c r="E143" i="72" s="1"/>
  <c r="D142" i="72"/>
  <c r="E142" i="72" s="1"/>
  <c r="D141" i="72"/>
  <c r="E141" i="72" s="1"/>
  <c r="G12" i="71"/>
  <c r="E12" i="71"/>
  <c r="C12" i="71"/>
  <c r="G11" i="71"/>
  <c r="E11" i="71"/>
  <c r="C11" i="71"/>
  <c r="G10" i="71"/>
  <c r="E10" i="71"/>
  <c r="C10" i="71"/>
  <c r="G9" i="71"/>
  <c r="E9" i="71"/>
  <c r="C9" i="71"/>
  <c r="G8" i="71"/>
  <c r="E8" i="71"/>
  <c r="C8" i="71"/>
  <c r="G7" i="71"/>
  <c r="E7" i="71"/>
  <c r="C7" i="71"/>
  <c r="G6" i="71"/>
  <c r="E6" i="71"/>
  <c r="C6" i="71"/>
  <c r="G5" i="71"/>
  <c r="E5" i="71"/>
  <c r="C5" i="71"/>
  <c r="G4" i="71"/>
  <c r="E4" i="71"/>
  <c r="C4" i="71"/>
  <c r="G3" i="71"/>
  <c r="E3" i="71"/>
  <c r="C3" i="71"/>
  <c r="G2" i="71"/>
  <c r="E2" i="71"/>
  <c r="J47" i="60" l="1"/>
  <c r="L16" i="73"/>
  <c r="L18" i="73" s="1"/>
  <c r="D140" i="72"/>
  <c r="H318" i="18"/>
  <c r="X542" i="18"/>
  <c r="T145" i="18"/>
  <c r="I40" i="63"/>
  <c r="O40" i="63"/>
  <c r="I41" i="63"/>
  <c r="O41" i="63"/>
  <c r="I42" i="63"/>
  <c r="O42" i="63"/>
  <c r="I43" i="63"/>
  <c r="O43" i="63"/>
  <c r="I44" i="63"/>
  <c r="O44" i="63"/>
  <c r="I45" i="63"/>
  <c r="O45" i="63"/>
  <c r="I46" i="63"/>
  <c r="O46" i="63"/>
  <c r="I47" i="63"/>
  <c r="O47" i="63"/>
  <c r="I48" i="63"/>
  <c r="O48" i="63"/>
  <c r="I49" i="63"/>
  <c r="O49" i="63"/>
  <c r="I50" i="63"/>
  <c r="O50" i="63"/>
  <c r="I51" i="63"/>
  <c r="O51" i="63"/>
  <c r="I52" i="63"/>
  <c r="O52" i="63"/>
  <c r="I54" i="63"/>
  <c r="O54" i="63"/>
  <c r="I55" i="63"/>
  <c r="O55" i="63"/>
  <c r="I56" i="63"/>
  <c r="O56" i="63"/>
  <c r="H39" i="63"/>
  <c r="G55" i="63"/>
  <c r="H55" i="63"/>
  <c r="G56" i="63"/>
  <c r="H56" i="63"/>
  <c r="N56" i="63" l="1"/>
  <c r="J56" i="63"/>
  <c r="K56" i="63" s="1"/>
  <c r="E140" i="72"/>
  <c r="J55" i="63"/>
  <c r="K55" i="63" s="1"/>
  <c r="U164" i="18"/>
  <c r="X541" i="18"/>
  <c r="X540" i="18"/>
  <c r="X539" i="18"/>
  <c r="E139" i="72" l="1"/>
  <c r="D138" i="72"/>
  <c r="U162" i="18"/>
  <c r="W163" i="18"/>
  <c r="D137" i="72" l="1"/>
  <c r="E138" i="72"/>
  <c r="T73" i="18"/>
  <c r="G54" i="63"/>
  <c r="H54" i="63"/>
  <c r="G52" i="63"/>
  <c r="H52" i="63"/>
  <c r="N53" i="63" s="1"/>
  <c r="G49" i="63"/>
  <c r="H49" i="63"/>
  <c r="G48" i="63"/>
  <c r="H48" i="63"/>
  <c r="T144" i="18"/>
  <c r="G50" i="63"/>
  <c r="H50" i="63"/>
  <c r="G51" i="63"/>
  <c r="H51" i="63"/>
  <c r="H41" i="63"/>
  <c r="H42" i="63"/>
  <c r="H43" i="63"/>
  <c r="H44" i="63"/>
  <c r="H45" i="63"/>
  <c r="H46" i="63"/>
  <c r="H47" i="63"/>
  <c r="G45" i="63"/>
  <c r="G47" i="63"/>
  <c r="G46" i="63"/>
  <c r="D136" i="72" l="1"/>
  <c r="E137" i="72"/>
  <c r="N46" i="63"/>
  <c r="J46" i="63"/>
  <c r="K46" i="63" s="1"/>
  <c r="J41" i="63"/>
  <c r="K41" i="63" s="1"/>
  <c r="N49" i="63"/>
  <c r="J49" i="63"/>
  <c r="K49" i="63" s="1"/>
  <c r="N54" i="63"/>
  <c r="N55" i="63"/>
  <c r="J54" i="63"/>
  <c r="K54" i="63" s="1"/>
  <c r="N42" i="63"/>
  <c r="J42" i="63"/>
  <c r="K42" i="63" s="1"/>
  <c r="N51" i="63"/>
  <c r="J51" i="63"/>
  <c r="K51" i="63" s="1"/>
  <c r="N50" i="63"/>
  <c r="J50" i="63"/>
  <c r="K50" i="63" s="1"/>
  <c r="N45" i="63"/>
  <c r="J45" i="63"/>
  <c r="K45" i="63" s="1"/>
  <c r="N44" i="63"/>
  <c r="J44" i="63"/>
  <c r="K44" i="63" s="1"/>
  <c r="N47" i="63"/>
  <c r="J47" i="63"/>
  <c r="K47" i="63" s="1"/>
  <c r="N43" i="63"/>
  <c r="J43" i="63"/>
  <c r="K43" i="63" s="1"/>
  <c r="N48" i="63"/>
  <c r="J48" i="63"/>
  <c r="K48" i="63" s="1"/>
  <c r="N52" i="63"/>
  <c r="J52" i="63"/>
  <c r="K52" i="63" s="1"/>
  <c r="T143" i="18"/>
  <c r="G44" i="63"/>
  <c r="G43" i="63"/>
  <c r="G42" i="63"/>
  <c r="G41" i="63"/>
  <c r="E136" i="72" l="1"/>
  <c r="D135" i="72"/>
  <c r="T72" i="18"/>
  <c r="O28" i="18"/>
  <c r="T142" i="18"/>
  <c r="G40" i="63"/>
  <c r="H40" i="63"/>
  <c r="I39" i="63"/>
  <c r="O39" i="63"/>
  <c r="G39" i="63"/>
  <c r="G38" i="63"/>
  <c r="I37" i="63"/>
  <c r="I38" i="63"/>
  <c r="H38" i="63"/>
  <c r="O38" i="63"/>
  <c r="G37" i="63"/>
  <c r="H37" i="63"/>
  <c r="O37" i="63"/>
  <c r="E135" i="72" l="1"/>
  <c r="D134" i="72"/>
  <c r="N40" i="63"/>
  <c r="J40" i="63"/>
  <c r="K40" i="63" s="1"/>
  <c r="N41" i="63"/>
  <c r="N39" i="63"/>
  <c r="J39" i="63"/>
  <c r="K39" i="63" s="1"/>
  <c r="J37" i="63"/>
  <c r="K37" i="63" s="1"/>
  <c r="N38" i="63"/>
  <c r="J38" i="63"/>
  <c r="K38" i="63" s="1"/>
  <c r="T141" i="18"/>
  <c r="D133" i="72" l="1"/>
  <c r="D132" i="72" s="1"/>
  <c r="E134" i="72"/>
  <c r="P29" i="18"/>
  <c r="P28" i="18"/>
  <c r="E133" i="72" l="1"/>
  <c r="E132" i="72" l="1"/>
  <c r="D131" i="72"/>
  <c r="E131" i="72" l="1"/>
  <c r="D130" i="72"/>
  <c r="O48" i="18"/>
  <c r="E130" i="72" l="1"/>
  <c r="D129" i="72"/>
  <c r="X538" i="18"/>
  <c r="D128" i="72" l="1"/>
  <c r="E129" i="72"/>
  <c r="T33" i="63"/>
  <c r="T32" i="63"/>
  <c r="T31" i="63"/>
  <c r="E128" i="72" l="1"/>
  <c r="D127" i="72"/>
  <c r="X537" i="18"/>
  <c r="E127" i="72" l="1"/>
  <c r="D126" i="72"/>
  <c r="E126" i="72" l="1"/>
  <c r="D125" i="72"/>
  <c r="H36" i="63"/>
  <c r="N37" i="63" s="1"/>
  <c r="D124" i="72" l="1"/>
  <c r="E125" i="72"/>
  <c r="X536" i="18"/>
  <c r="X535" i="18"/>
  <c r="V550" i="18"/>
  <c r="E124" i="72" l="1"/>
  <c r="D123" i="72"/>
  <c r="E123" i="72" l="1"/>
  <c r="D122" i="72"/>
  <c r="D121" i="72" l="1"/>
  <c r="E122" i="72"/>
  <c r="G36" i="63"/>
  <c r="I36" i="63"/>
  <c r="O36" i="63"/>
  <c r="G10" i="63"/>
  <c r="D120" i="72" l="1"/>
  <c r="E121" i="72"/>
  <c r="J36" i="63"/>
  <c r="K36" i="63" s="1"/>
  <c r="T71" i="18"/>
  <c r="K82" i="18"/>
  <c r="I61" i="63"/>
  <c r="E120" i="72" l="1"/>
  <c r="D119" i="72"/>
  <c r="E119" i="72" l="1"/>
  <c r="D118" i="72"/>
  <c r="T70" i="18"/>
  <c r="D117" i="72" l="1"/>
  <c r="E118" i="72"/>
  <c r="T69" i="18"/>
  <c r="D116" i="72" l="1"/>
  <c r="E117" i="72"/>
  <c r="T68" i="18"/>
  <c r="E116" i="72" l="1"/>
  <c r="D115" i="72"/>
  <c r="G57" i="63"/>
  <c r="E115" i="72" l="1"/>
  <c r="D114" i="72"/>
  <c r="T67" i="18"/>
  <c r="D113" i="72" l="1"/>
  <c r="E114" i="72"/>
  <c r="S183" i="18"/>
  <c r="D112" i="72" l="1"/>
  <c r="E113" i="72"/>
  <c r="F125" i="60"/>
  <c r="J124" i="60" s="1"/>
  <c r="E112" i="72" l="1"/>
  <c r="E144" i="72" s="1"/>
  <c r="D111" i="72"/>
  <c r="G124" i="60"/>
  <c r="H124" i="60" s="1"/>
  <c r="I124" i="60"/>
  <c r="F126" i="60"/>
  <c r="E111" i="72" l="1"/>
  <c r="D110" i="72"/>
  <c r="J125" i="60"/>
  <c r="I125" i="60"/>
  <c r="G125" i="60"/>
  <c r="H125" i="60" s="1"/>
  <c r="F128" i="60"/>
  <c r="F127" i="60"/>
  <c r="D109" i="72" l="1"/>
  <c r="E110" i="72"/>
  <c r="J126" i="60"/>
  <c r="I126" i="60"/>
  <c r="G126" i="60"/>
  <c r="H126" i="60" s="1"/>
  <c r="J127" i="60"/>
  <c r="I127" i="60"/>
  <c r="G127" i="60"/>
  <c r="H127" i="60" s="1"/>
  <c r="G125" i="18"/>
  <c r="E109" i="72" l="1"/>
  <c r="D108" i="72"/>
  <c r="X533" i="18"/>
  <c r="E108" i="72" l="1"/>
  <c r="D107" i="72"/>
  <c r="X532" i="18"/>
  <c r="I65" i="63"/>
  <c r="H65" i="63"/>
  <c r="P22" i="18"/>
  <c r="N22" i="18" s="1"/>
  <c r="P21" i="18"/>
  <c r="N21" i="18" s="1"/>
  <c r="E107" i="72" l="1"/>
  <c r="D106" i="72"/>
  <c r="T66" i="18"/>
  <c r="E106" i="72" l="1"/>
  <c r="D105" i="72"/>
  <c r="X531" i="18"/>
  <c r="D104" i="72" l="1"/>
  <c r="E105" i="72"/>
  <c r="T140" i="18"/>
  <c r="E104" i="72" l="1"/>
  <c r="D103" i="72"/>
  <c r="T139" i="18"/>
  <c r="E103" i="72" l="1"/>
  <c r="D102" i="72"/>
  <c r="D101" i="72" l="1"/>
  <c r="E102" i="72"/>
  <c r="X530" i="18"/>
  <c r="AB100" i="18"/>
  <c r="T102" i="18"/>
  <c r="T101" i="18"/>
  <c r="S318" i="18"/>
  <c r="U160" i="18"/>
  <c r="X529" i="18"/>
  <c r="X528" i="18"/>
  <c r="D100" i="72" l="1"/>
  <c r="E101" i="72"/>
  <c r="E120" i="63"/>
  <c r="X527" i="18"/>
  <c r="T65" i="18"/>
  <c r="E100" i="72" l="1"/>
  <c r="D99" i="72"/>
  <c r="S581" i="18"/>
  <c r="X526" i="18"/>
  <c r="AB126" i="18"/>
  <c r="AB127" i="18"/>
  <c r="AB128" i="18"/>
  <c r="AB129" i="18"/>
  <c r="AB130" i="18"/>
  <c r="AB131" i="18"/>
  <c r="AB132" i="18"/>
  <c r="AB133" i="18"/>
  <c r="AB125" i="18"/>
  <c r="AB57" i="18"/>
  <c r="AB58" i="18"/>
  <c r="AB59" i="18"/>
  <c r="AB60" i="18"/>
  <c r="AB56" i="18"/>
  <c r="T64" i="18"/>
  <c r="E99" i="72" l="1"/>
  <c r="D98" i="72"/>
  <c r="O29" i="18"/>
  <c r="O49" i="18"/>
  <c r="I66" i="63"/>
  <c r="I64" i="63"/>
  <c r="H66" i="63"/>
  <c r="H64" i="63"/>
  <c r="G66" i="63"/>
  <c r="G64" i="63"/>
  <c r="G65" i="63"/>
  <c r="E98" i="72" l="1"/>
  <c r="D97" i="72"/>
  <c r="J64" i="63"/>
  <c r="K64" i="63" s="1"/>
  <c r="D96" i="72" l="1"/>
  <c r="E97" i="72"/>
  <c r="C104" i="63"/>
  <c r="D104" i="63" s="1"/>
  <c r="C105" i="63"/>
  <c r="D105" i="63" s="1"/>
  <c r="C106" i="63"/>
  <c r="D106" i="63" s="1"/>
  <c r="C103" i="63"/>
  <c r="D103" i="63" s="1"/>
  <c r="E96" i="72" l="1"/>
  <c r="D95" i="72"/>
  <c r="D119" i="63"/>
  <c r="E119" i="63"/>
  <c r="G119" i="63" s="1"/>
  <c r="D120" i="63"/>
  <c r="G120" i="63"/>
  <c r="D121" i="63"/>
  <c r="E121" i="63"/>
  <c r="G121" i="63" s="1"/>
  <c r="D122" i="63"/>
  <c r="E122" i="63"/>
  <c r="G122" i="63" s="1"/>
  <c r="D123" i="63"/>
  <c r="E123" i="63"/>
  <c r="G123" i="63" s="1"/>
  <c r="D124" i="63"/>
  <c r="E124" i="63"/>
  <c r="G124" i="63" s="1"/>
  <c r="D125" i="63"/>
  <c r="E125" i="63"/>
  <c r="G125" i="63" s="1"/>
  <c r="D126" i="63"/>
  <c r="E126" i="63"/>
  <c r="G126" i="63" s="1"/>
  <c r="D127" i="63"/>
  <c r="E127" i="63"/>
  <c r="G127" i="63" s="1"/>
  <c r="D128" i="63"/>
  <c r="E128" i="63"/>
  <c r="G128" i="63" s="1"/>
  <c r="D129" i="63"/>
  <c r="E129" i="63"/>
  <c r="G129" i="63" s="1"/>
  <c r="D130" i="63"/>
  <c r="E130" i="63"/>
  <c r="G130" i="63" s="1"/>
  <c r="D131" i="63"/>
  <c r="E131" i="63"/>
  <c r="G131" i="63" s="1"/>
  <c r="D132" i="63"/>
  <c r="E132" i="63"/>
  <c r="G132" i="63" s="1"/>
  <c r="D133" i="63"/>
  <c r="E133" i="63"/>
  <c r="G133" i="63" s="1"/>
  <c r="D134" i="63"/>
  <c r="E134" i="63"/>
  <c r="G134" i="63" s="1"/>
  <c r="D135" i="63"/>
  <c r="E135" i="63"/>
  <c r="G135" i="63" s="1"/>
  <c r="D136" i="63"/>
  <c r="E136" i="63"/>
  <c r="G136" i="63" s="1"/>
  <c r="D137" i="63"/>
  <c r="E137" i="63"/>
  <c r="D138" i="63"/>
  <c r="E138" i="63"/>
  <c r="D139" i="63"/>
  <c r="E139" i="63"/>
  <c r="D140" i="63"/>
  <c r="E140" i="63"/>
  <c r="E118" i="63"/>
  <c r="G118" i="63" s="1"/>
  <c r="D118" i="63"/>
  <c r="E95" i="72" l="1"/>
  <c r="D94" i="72"/>
  <c r="X525" i="18"/>
  <c r="D93" i="72" l="1"/>
  <c r="E94" i="72"/>
  <c r="L336" i="69"/>
  <c r="L337" i="69"/>
  <c r="L338" i="69"/>
  <c r="D92" i="72" l="1"/>
  <c r="E93" i="72"/>
  <c r="T63" i="18"/>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E92" i="72" l="1"/>
  <c r="D91" i="72"/>
  <c r="X524" i="18"/>
  <c r="T62" i="18"/>
  <c r="E91" i="72" l="1"/>
  <c r="D90" i="72"/>
  <c r="D176" i="58"/>
  <c r="D89" i="72" l="1"/>
  <c r="E90" i="72"/>
  <c r="P30" i="18"/>
  <c r="D88" i="72" l="1"/>
  <c r="E89" i="72"/>
  <c r="X523" i="18"/>
  <c r="T138" i="18"/>
  <c r="E88" i="72" l="1"/>
  <c r="D87" i="72"/>
  <c r="E87" i="72" l="1"/>
  <c r="D86" i="72"/>
  <c r="X522" i="18"/>
  <c r="T137" i="18"/>
  <c r="I24" i="63"/>
  <c r="I25" i="63"/>
  <c r="G25" i="63"/>
  <c r="H25" i="63"/>
  <c r="D85" i="72" l="1"/>
  <c r="E86" i="72"/>
  <c r="J25" i="63"/>
  <c r="K25" i="63" s="1"/>
  <c r="X521" i="18"/>
  <c r="D84" i="72" l="1"/>
  <c r="E85" i="72"/>
  <c r="H61" i="63"/>
  <c r="G61" i="63"/>
  <c r="E84" i="72" l="1"/>
  <c r="D83" i="72"/>
  <c r="J61" i="63"/>
  <c r="K61" i="63" s="1"/>
  <c r="E83" i="72" l="1"/>
  <c r="D82" i="72"/>
  <c r="E82" i="72" l="1"/>
  <c r="D81" i="72"/>
  <c r="X520" i="18"/>
  <c r="E81" i="72" l="1"/>
  <c r="D80" i="72"/>
  <c r="L9" i="60"/>
  <c r="E80" i="72" l="1"/>
  <c r="D79" i="72"/>
  <c r="E79" i="72" l="1"/>
  <c r="D78" i="72"/>
  <c r="X519" i="18"/>
  <c r="T136" i="18"/>
  <c r="E78" i="72" l="1"/>
  <c r="D77" i="72"/>
  <c r="X518" i="18"/>
  <c r="T135" i="18"/>
  <c r="D76" i="72" l="1"/>
  <c r="E77" i="72"/>
  <c r="X517" i="18"/>
  <c r="T134" i="18"/>
  <c r="E76" i="72" l="1"/>
  <c r="D75" i="72"/>
  <c r="X516" i="18"/>
  <c r="E75" i="72" l="1"/>
  <c r="D74" i="72"/>
  <c r="D73" i="72" l="1"/>
  <c r="E74" i="72"/>
  <c r="D72" i="72" l="1"/>
  <c r="E73" i="72"/>
  <c r="I35" i="63"/>
  <c r="E72" i="72" l="1"/>
  <c r="D71" i="72"/>
  <c r="T133" i="18"/>
  <c r="I34" i="63"/>
  <c r="G35" i="63"/>
  <c r="H35" i="63"/>
  <c r="O35" i="63"/>
  <c r="E71" i="72" l="1"/>
  <c r="D70" i="72"/>
  <c r="N36" i="63"/>
  <c r="J35" i="63"/>
  <c r="K35" i="63" s="1"/>
  <c r="D69" i="72" l="1"/>
  <c r="E70" i="72"/>
  <c r="T132" i="18"/>
  <c r="X515" i="18"/>
  <c r="I32" i="63"/>
  <c r="O32" i="63"/>
  <c r="I33" i="63"/>
  <c r="O33" i="63"/>
  <c r="O34" i="63"/>
  <c r="G34" i="63"/>
  <c r="H34" i="63"/>
  <c r="N35" i="63" s="1"/>
  <c r="G33" i="63"/>
  <c r="H33" i="63"/>
  <c r="D68" i="72" l="1"/>
  <c r="E69" i="72"/>
  <c r="N34" i="63"/>
  <c r="J34" i="63"/>
  <c r="K34" i="63" s="1"/>
  <c r="J33" i="63"/>
  <c r="K33" i="63" s="1"/>
  <c r="X514" i="18"/>
  <c r="E68" i="72" l="1"/>
  <c r="D67" i="72"/>
  <c r="X513" i="18"/>
  <c r="E67" i="72" l="1"/>
  <c r="D66" i="72"/>
  <c r="T131" i="18"/>
  <c r="G32" i="63"/>
  <c r="H32" i="63"/>
  <c r="I30" i="63"/>
  <c r="I31" i="63"/>
  <c r="G31" i="63"/>
  <c r="H31" i="63"/>
  <c r="O31" i="63"/>
  <c r="E66" i="72" l="1"/>
  <c r="D65" i="72"/>
  <c r="N32" i="63"/>
  <c r="N33" i="63"/>
  <c r="J32" i="63"/>
  <c r="K32" i="63" s="1"/>
  <c r="J31" i="63"/>
  <c r="K31" i="63" s="1"/>
  <c r="T61" i="18"/>
  <c r="O30" i="63"/>
  <c r="G30" i="63"/>
  <c r="H30" i="63"/>
  <c r="D64" i="72" l="1"/>
  <c r="E65" i="72"/>
  <c r="J30" i="63"/>
  <c r="K30" i="63" s="1"/>
  <c r="N31" i="63"/>
  <c r="X512" i="18"/>
  <c r="E64" i="72" l="1"/>
  <c r="D63" i="72"/>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E63" i="72" l="1"/>
  <c r="D62" i="72"/>
  <c r="X511" i="18"/>
  <c r="D61" i="72" l="1"/>
  <c r="E62" i="72"/>
  <c r="I10" i="63"/>
  <c r="H10" i="63"/>
  <c r="D60" i="72" l="1"/>
  <c r="E61" i="72"/>
  <c r="J10" i="63"/>
  <c r="K10" i="63" s="1"/>
  <c r="E60" i="72" l="1"/>
  <c r="D59" i="72"/>
  <c r="L16" i="18"/>
  <c r="E59" i="72" l="1"/>
  <c r="D58" i="72"/>
  <c r="I60" i="63"/>
  <c r="H60" i="63"/>
  <c r="G60" i="63"/>
  <c r="I59" i="63"/>
  <c r="H59" i="63"/>
  <c r="D57" i="72" l="1"/>
  <c r="E58" i="72"/>
  <c r="J60" i="63"/>
  <c r="K60" i="63" s="1"/>
  <c r="J59" i="63"/>
  <c r="K59" i="63" s="1"/>
  <c r="G7" i="63"/>
  <c r="H7" i="63"/>
  <c r="I7" i="63"/>
  <c r="G8" i="63"/>
  <c r="H8" i="63"/>
  <c r="I8" i="63"/>
  <c r="G9" i="63"/>
  <c r="H9" i="63"/>
  <c r="N10" i="63" s="1"/>
  <c r="I9" i="63"/>
  <c r="E57" i="72" l="1"/>
  <c r="D56" i="72"/>
  <c r="J8" i="63"/>
  <c r="K8" i="63" s="1"/>
  <c r="J7" i="63"/>
  <c r="K7" i="63" s="1"/>
  <c r="J9" i="63"/>
  <c r="K9" i="63" s="1"/>
  <c r="N9" i="63"/>
  <c r="N8" i="63"/>
  <c r="E56" i="72" l="1"/>
  <c r="D55" i="72"/>
  <c r="I29" i="63"/>
  <c r="O29" i="63"/>
  <c r="I57" i="63"/>
  <c r="E55" i="72" l="1"/>
  <c r="D54" i="72"/>
  <c r="I28" i="63"/>
  <c r="E54" i="72" l="1"/>
  <c r="D53" i="72"/>
  <c r="L7" i="60"/>
  <c r="L8" i="60"/>
  <c r="L10" i="60"/>
  <c r="L11" i="60"/>
  <c r="L12" i="60"/>
  <c r="L13" i="60"/>
  <c r="L14" i="60"/>
  <c r="O6" i="60"/>
  <c r="D52" i="72" l="1"/>
  <c r="E53" i="72"/>
  <c r="H2" i="60"/>
  <c r="H4" i="60"/>
  <c r="M6" i="60"/>
  <c r="H3" i="60"/>
  <c r="E52" i="72" l="1"/>
  <c r="D51" i="72"/>
  <c r="AM274" i="18"/>
  <c r="AM273" i="18" s="1"/>
  <c r="AM272" i="18" s="1"/>
  <c r="AM271" i="18" s="1"/>
  <c r="AM270" i="18" s="1"/>
  <c r="AM269" i="18" s="1"/>
  <c r="AM268" i="18" s="1"/>
  <c r="AM267" i="18" s="1"/>
  <c r="AM266" i="18" s="1"/>
  <c r="AM265" i="18" s="1"/>
  <c r="AM264" i="18" s="1"/>
  <c r="AM263" i="18" s="1"/>
  <c r="E51" i="72" l="1"/>
  <c r="D50" i="72"/>
  <c r="I58" i="63"/>
  <c r="H58" i="63"/>
  <c r="D49" i="72" l="1"/>
  <c r="E50" i="72"/>
  <c r="J58" i="63"/>
  <c r="D48" i="72" l="1"/>
  <c r="E49" i="72"/>
  <c r="N65" i="63"/>
  <c r="N66" i="63"/>
  <c r="V31" i="63"/>
  <c r="V32" i="63"/>
  <c r="T34" i="63"/>
  <c r="U34" i="63"/>
  <c r="V34" i="63"/>
  <c r="E48" i="72" l="1"/>
  <c r="D47" i="72"/>
  <c r="J66" i="63"/>
  <c r="K66" i="63" s="1"/>
  <c r="J65" i="63"/>
  <c r="K65" i="63" s="1"/>
  <c r="E47" i="72" l="1"/>
  <c r="D46" i="72"/>
  <c r="M85" i="63"/>
  <c r="M81" i="63"/>
  <c r="M82" i="63"/>
  <c r="D45" i="72" l="1"/>
  <c r="E46" i="72"/>
  <c r="H94" i="63"/>
  <c r="D44" i="72" l="1"/>
  <c r="E45" i="72"/>
  <c r="J2" i="60"/>
  <c r="E44" i="72" l="1"/>
  <c r="D43" i="72"/>
  <c r="X507" i="18"/>
  <c r="X502" i="18"/>
  <c r="X503" i="18"/>
  <c r="X504" i="18"/>
  <c r="X505" i="18"/>
  <c r="X506" i="18"/>
  <c r="X508" i="18"/>
  <c r="X509" i="18"/>
  <c r="X510" i="18"/>
  <c r="X534" i="18"/>
  <c r="X548" i="18"/>
  <c r="X549" i="18"/>
  <c r="O26" i="63"/>
  <c r="O27" i="63"/>
  <c r="O28" i="63"/>
  <c r="E43" i="72" l="1"/>
  <c r="D42" i="72"/>
  <c r="X501" i="18"/>
  <c r="E42" i="72" l="1"/>
  <c r="D41" i="72"/>
  <c r="F3" i="60"/>
  <c r="D40" i="72" l="1"/>
  <c r="E41" i="72"/>
  <c r="M84" i="63"/>
  <c r="M83" i="63"/>
  <c r="F26" i="60"/>
  <c r="E40" i="72" l="1"/>
  <c r="D39" i="72"/>
  <c r="L6" i="60"/>
  <c r="E39" i="72" l="1"/>
  <c r="D38" i="72"/>
  <c r="F2" i="60"/>
  <c r="D37" i="72" l="1"/>
  <c r="E38" i="72"/>
  <c r="H93" i="63"/>
  <c r="D36" i="72" l="1"/>
  <c r="E37" i="72"/>
  <c r="X500" i="18"/>
  <c r="H92" i="63"/>
  <c r="N64" i="63"/>
  <c r="E36" i="72" l="1"/>
  <c r="D35" i="72"/>
  <c r="M80" i="63"/>
  <c r="N50" i="18"/>
  <c r="I62" i="63"/>
  <c r="G62" i="63"/>
  <c r="H62" i="63"/>
  <c r="E35" i="72" l="1"/>
  <c r="D34" i="72"/>
  <c r="J62" i="63"/>
  <c r="K62" i="63" s="1"/>
  <c r="X499" i="18"/>
  <c r="X498" i="18"/>
  <c r="X497" i="18"/>
  <c r="E34" i="72" l="1"/>
  <c r="D33" i="72"/>
  <c r="AA9" i="68"/>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73" i="63"/>
  <c r="M74" i="63"/>
  <c r="M75" i="63"/>
  <c r="M76" i="63"/>
  <c r="M77" i="63"/>
  <c r="M78" i="63"/>
  <c r="M79" i="63"/>
  <c r="M72" i="63"/>
  <c r="H91" i="63"/>
  <c r="D32" i="72" l="1"/>
  <c r="E33" i="72"/>
  <c r="I29" i="68"/>
  <c r="I41" i="68" s="1"/>
  <c r="X496" i="18"/>
  <c r="H90" i="63"/>
  <c r="I23" i="63"/>
  <c r="G24" i="63"/>
  <c r="H24" i="63"/>
  <c r="E32" i="72" l="1"/>
  <c r="D31" i="72"/>
  <c r="N25" i="63"/>
  <c r="J24" i="63"/>
  <c r="K24" i="63" s="1"/>
  <c r="E31" i="72" l="1"/>
  <c r="D30" i="72"/>
  <c r="I79" i="63"/>
  <c r="X495" i="18"/>
  <c r="D29" i="72" l="1"/>
  <c r="E30" i="72"/>
  <c r="X494" i="18"/>
  <c r="N55" i="18"/>
  <c r="N27" i="18"/>
  <c r="D28" i="72" l="1"/>
  <c r="E29" i="72"/>
  <c r="G29" i="63"/>
  <c r="H29" i="63"/>
  <c r="N30" i="63" s="1"/>
  <c r="G28" i="63"/>
  <c r="H28" i="63"/>
  <c r="E28" i="72" l="1"/>
  <c r="D27" i="72"/>
  <c r="N29" i="63"/>
  <c r="J29" i="63"/>
  <c r="K29" i="63" s="1"/>
  <c r="J28" i="63"/>
  <c r="K28" i="63" s="1"/>
  <c r="X493" i="18"/>
  <c r="I27" i="63"/>
  <c r="G27" i="63"/>
  <c r="H27" i="63"/>
  <c r="N28" i="63" s="1"/>
  <c r="E27" i="72" l="1"/>
  <c r="D26" i="72"/>
  <c r="J27" i="63"/>
  <c r="K27" i="63" s="1"/>
  <c r="D25" i="72" l="1"/>
  <c r="E26" i="72"/>
  <c r="X492" i="18"/>
  <c r="N26" i="63"/>
  <c r="I26" i="63"/>
  <c r="H26" i="63"/>
  <c r="N27" i="63" s="1"/>
  <c r="G26" i="63"/>
  <c r="D24" i="72" l="1"/>
  <c r="E25" i="72"/>
  <c r="J26" i="63"/>
  <c r="K26" i="63" s="1"/>
  <c r="E24" i="72" l="1"/>
  <c r="D23" i="72"/>
  <c r="H79" i="63"/>
  <c r="G79" i="63"/>
  <c r="I78" i="63"/>
  <c r="G78" i="63"/>
  <c r="H78" i="63"/>
  <c r="E23" i="72" l="1"/>
  <c r="D22" i="72"/>
  <c r="J79" i="63"/>
  <c r="K79" i="63" s="1"/>
  <c r="J78" i="63"/>
  <c r="K78" i="63" s="1"/>
  <c r="E22" i="72" l="1"/>
  <c r="D21" i="72"/>
  <c r="R26" i="63"/>
  <c r="D20" i="72" l="1"/>
  <c r="E21" i="72"/>
  <c r="G23" i="63"/>
  <c r="H23" i="63"/>
  <c r="N24" i="63" s="1"/>
  <c r="E20" i="72" l="1"/>
  <c r="D19" i="72"/>
  <c r="J23" i="63"/>
  <c r="K23" i="63" s="1"/>
  <c r="I22" i="63"/>
  <c r="G22" i="63"/>
  <c r="H22" i="63"/>
  <c r="N23" i="63" s="1"/>
  <c r="E19" i="72" l="1"/>
  <c r="D18" i="72"/>
  <c r="J22" i="63"/>
  <c r="K22" i="63" s="1"/>
  <c r="X491" i="18"/>
  <c r="D17" i="72" l="1"/>
  <c r="E18" i="72"/>
  <c r="X490" i="18"/>
  <c r="D16" i="72" l="1"/>
  <c r="E17" i="72"/>
  <c r="E16" i="72" l="1"/>
  <c r="D15" i="72"/>
  <c r="M145" i="18"/>
  <c r="L145" i="18"/>
  <c r="I125" i="18"/>
  <c r="P36" i="18"/>
  <c r="E15" i="72" l="1"/>
  <c r="D14" i="72"/>
  <c r="X489" i="18"/>
  <c r="D13" i="72" l="1"/>
  <c r="E14" i="72"/>
  <c r="X488" i="18"/>
  <c r="D12" i="72" l="1"/>
  <c r="E13" i="72"/>
  <c r="F32" i="60"/>
  <c r="E12" i="72" l="1"/>
  <c r="D11" i="72"/>
  <c r="D32" i="60"/>
  <c r="D3" i="60"/>
  <c r="F27" i="60"/>
  <c r="F28" i="60"/>
  <c r="F29" i="60"/>
  <c r="F30" i="60"/>
  <c r="F31" i="60"/>
  <c r="D27" i="60"/>
  <c r="D28" i="60"/>
  <c r="D29" i="60"/>
  <c r="D31" i="60"/>
  <c r="D26" i="60"/>
  <c r="E11" i="72" l="1"/>
  <c r="D10" i="72"/>
  <c r="F34" i="60"/>
  <c r="D34" i="60"/>
  <c r="E10" i="72" l="1"/>
  <c r="D9" i="72"/>
  <c r="J3" i="60"/>
  <c r="O7" i="60"/>
  <c r="O9" i="60"/>
  <c r="O10" i="60"/>
  <c r="O11" i="60"/>
  <c r="O12" i="60"/>
  <c r="O13" i="60"/>
  <c r="O14" i="60"/>
  <c r="D8" i="72" l="1"/>
  <c r="E9" i="72"/>
  <c r="E8" i="72" l="1"/>
  <c r="D7" i="72"/>
  <c r="X487" i="18"/>
  <c r="X486" i="18"/>
  <c r="E7" i="72" l="1"/>
  <c r="D6" i="72"/>
  <c r="D5" i="72" l="1"/>
  <c r="E6" i="72"/>
  <c r="D4" i="72" l="1"/>
  <c r="E5" i="72"/>
  <c r="E4" i="72" l="1"/>
  <c r="D3" i="72"/>
  <c r="E3" i="72" s="1"/>
  <c r="X485" i="18"/>
  <c r="X484" i="18" l="1"/>
  <c r="X483" i="18" l="1"/>
  <c r="X482" i="18"/>
  <c r="X481" i="18"/>
  <c r="X480" i="18" l="1"/>
  <c r="I74" i="63" l="1"/>
  <c r="I75" i="63"/>
  <c r="I76" i="63"/>
  <c r="I77" i="63"/>
  <c r="I73" i="63"/>
  <c r="H57"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57" i="63" l="1"/>
  <c r="K57" i="63" s="1"/>
  <c r="N58" i="63"/>
  <c r="G17" i="67"/>
  <c r="H17" i="67" s="1"/>
  <c r="X479" i="18" l="1"/>
  <c r="X478" i="18" l="1"/>
  <c r="X477" i="18"/>
  <c r="X476" i="18" l="1"/>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I3" i="65" l="1"/>
  <c r="I2" i="65"/>
  <c r="M7" i="60" l="1"/>
  <c r="M9" i="60"/>
  <c r="M10" i="60"/>
  <c r="M11" i="60"/>
  <c r="M12" i="60"/>
  <c r="M13" i="60"/>
  <c r="M14" i="60"/>
  <c r="B72" i="65" l="1"/>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T247" i="18" l="1"/>
  <c r="X475" i="18" l="1"/>
  <c r="X474" i="18" l="1"/>
  <c r="N30" i="18"/>
  <c r="M79" i="18" s="1"/>
  <c r="N53" i="18"/>
  <c r="X472" i="18" l="1"/>
  <c r="AK489" i="18" l="1"/>
  <c r="X471" i="18" l="1"/>
  <c r="X470" i="18"/>
  <c r="X469" i="18"/>
  <c r="X473" i="18"/>
  <c r="X468" i="18"/>
  <c r="X467" i="18"/>
  <c r="P32" i="18"/>
  <c r="N32" i="18" s="1"/>
  <c r="N54" i="18"/>
  <c r="X387" i="18"/>
  <c r="T116" i="18" l="1"/>
  <c r="M8" i="60" l="1"/>
  <c r="D2" i="60"/>
  <c r="X466" i="18" l="1"/>
  <c r="X465" i="18" l="1"/>
  <c r="X464" i="18"/>
  <c r="AM244" i="18"/>
  <c r="AM243" i="18" s="1"/>
  <c r="AM242" i="18" s="1"/>
  <c r="X463" i="18" l="1"/>
  <c r="X462" i="18" l="1"/>
  <c r="G21" i="63"/>
  <c r="H21" i="63"/>
  <c r="N22" i="63" s="1"/>
  <c r="J21" i="63" l="1"/>
  <c r="K21" i="63" s="1"/>
  <c r="G73" i="63"/>
  <c r="H73" i="63"/>
  <c r="J73" i="63" s="1"/>
  <c r="K73" i="63" s="1"/>
  <c r="X459" i="18" l="1"/>
  <c r="X460" i="18"/>
  <c r="X461" i="18"/>
  <c r="X458" i="18" l="1"/>
  <c r="G20" i="63" l="1"/>
  <c r="H20" i="63"/>
  <c r="J20" i="63" l="1"/>
  <c r="K20" i="63" s="1"/>
  <c r="N21" i="63"/>
  <c r="X457" i="18"/>
  <c r="X456" i="18" l="1"/>
  <c r="G19" i="63"/>
  <c r="H19" i="63"/>
  <c r="G18" i="63"/>
  <c r="H18" i="63"/>
  <c r="J18" i="63" l="1"/>
  <c r="K18" i="63" s="1"/>
  <c r="N19" i="63"/>
  <c r="J19" i="63"/>
  <c r="K19" i="63" s="1"/>
  <c r="K7" i="60"/>
  <c r="K9" i="60"/>
  <c r="K10" i="60"/>
  <c r="K11" i="60"/>
  <c r="K12" i="60"/>
  <c r="K13" i="60"/>
  <c r="K14" i="60"/>
  <c r="G48" i="10" l="1"/>
  <c r="G17" i="63" l="1"/>
  <c r="H17" i="63"/>
  <c r="J17" i="63" l="1"/>
  <c r="K17" i="63" s="1"/>
  <c r="N18" i="63"/>
  <c r="B64" i="60"/>
  <c r="B61" i="60"/>
  <c r="G16" i="63" l="1"/>
  <c r="H16" i="63"/>
  <c r="J16" i="63" l="1"/>
  <c r="K16" i="63" s="1"/>
  <c r="G58" i="63"/>
  <c r="X455" i="18"/>
  <c r="K58" i="63" l="1"/>
  <c r="N17" i="63"/>
  <c r="G14" i="63"/>
  <c r="H14" i="63"/>
  <c r="G15" i="63"/>
  <c r="H15" i="63"/>
  <c r="X454" i="18"/>
  <c r="G12" i="63"/>
  <c r="H12" i="63"/>
  <c r="G13" i="63"/>
  <c r="H13" i="63"/>
  <c r="N14" i="63" l="1"/>
  <c r="J14" i="63"/>
  <c r="K14" i="63" s="1"/>
  <c r="N15" i="63"/>
  <c r="J15" i="63"/>
  <c r="K15" i="63" s="1"/>
  <c r="N16" i="63"/>
  <c r="N13" i="63"/>
  <c r="J13" i="63"/>
  <c r="K13" i="63" s="1"/>
  <c r="J12" i="63"/>
  <c r="K12" i="63" s="1"/>
  <c r="X453" i="18"/>
  <c r="W164" i="18" l="1"/>
  <c r="U158" i="18" s="1"/>
  <c r="X452" i="18"/>
  <c r="G11" i="63"/>
  <c r="P35" i="18" l="1"/>
  <c r="G4" i="67" s="1"/>
  <c r="X451" i="18"/>
  <c r="H4" i="67" l="1"/>
  <c r="H10" i="67" s="1"/>
  <c r="G19" i="67"/>
  <c r="H19" i="67" s="1"/>
  <c r="H23" i="67" s="1"/>
  <c r="X450" i="18"/>
  <c r="E26" i="67" l="1"/>
  <c r="H1" i="63"/>
  <c r="J1" i="63" l="1"/>
  <c r="K1" i="63" s="1"/>
  <c r="X447" i="18" l="1"/>
  <c r="X446" i="18" l="1"/>
  <c r="H11" i="63" l="1"/>
  <c r="J11" i="63" s="1"/>
  <c r="K11" i="63" s="1"/>
  <c r="N12" i="63" l="1"/>
  <c r="F54" i="60"/>
  <c r="G53" i="60" s="1"/>
  <c r="G75" i="63" l="1"/>
  <c r="H75" i="63"/>
  <c r="J75" i="63" s="1"/>
  <c r="K75" i="63" s="1"/>
  <c r="G76" i="63"/>
  <c r="H76" i="63"/>
  <c r="J76" i="63" s="1"/>
  <c r="G77" i="63"/>
  <c r="H77" i="63"/>
  <c r="G74" i="63"/>
  <c r="H74" i="63"/>
  <c r="J74" i="63" s="1"/>
  <c r="K74" i="63" s="1"/>
  <c r="X445" i="18"/>
  <c r="J77" i="63" l="1"/>
  <c r="K77" i="63" s="1"/>
  <c r="K76" i="63"/>
  <c r="X444" i="18" l="1"/>
  <c r="G5" i="63"/>
  <c r="H5" i="63"/>
  <c r="G6" i="63"/>
  <c r="H6" i="63"/>
  <c r="G2" i="63"/>
  <c r="H2" i="63"/>
  <c r="G3" i="63"/>
  <c r="H3" i="63"/>
  <c r="J6" i="63" l="1"/>
  <c r="K6" i="63" s="1"/>
  <c r="N7" i="63"/>
  <c r="J2" i="63"/>
  <c r="K2" i="63" s="1"/>
  <c r="J3" i="63"/>
  <c r="K3" i="63" s="1"/>
  <c r="J5" i="63"/>
  <c r="K5" i="63" s="1"/>
  <c r="N6" i="63"/>
  <c r="N3" i="63"/>
  <c r="X443" i="18"/>
  <c r="X442" i="18" l="1"/>
  <c r="O473" i="52" l="1"/>
  <c r="J473" i="52"/>
  <c r="X437" i="18" l="1"/>
  <c r="X438" i="18"/>
  <c r="X439" i="18"/>
  <c r="X440" i="18"/>
  <c r="X441" i="18"/>
  <c r="X448" i="18"/>
  <c r="X449" i="18"/>
  <c r="AM488" i="18"/>
  <c r="AM487" i="18" s="1"/>
  <c r="O472" i="52"/>
  <c r="J472" i="52"/>
  <c r="AN487" i="18" l="1"/>
  <c r="AM486" i="18"/>
  <c r="AN488" i="18"/>
  <c r="AM485" i="18" l="1"/>
  <c r="AN486" i="18"/>
  <c r="AM471" i="18"/>
  <c r="X436" i="18"/>
  <c r="X435" i="18"/>
  <c r="X434" i="18"/>
  <c r="X433" i="18"/>
  <c r="X432" i="18"/>
  <c r="J468" i="52"/>
  <c r="O468" i="52"/>
  <c r="AN485" i="18" l="1"/>
  <c r="AM484" i="18"/>
  <c r="AM483" i="18" s="1"/>
  <c r="AM470" i="18"/>
  <c r="AN471" i="18"/>
  <c r="G4" i="63"/>
  <c r="H4" i="63"/>
  <c r="N20" i="63" s="1"/>
  <c r="AM482" i="18" l="1"/>
  <c r="AN483" i="18"/>
  <c r="J4" i="63"/>
  <c r="K4" i="63" s="1"/>
  <c r="N5" i="63"/>
  <c r="AN484" i="18"/>
  <c r="AN470" i="18"/>
  <c r="AM469" i="18"/>
  <c r="AM481" i="18" l="1"/>
  <c r="AN482" i="18"/>
  <c r="AM468" i="18"/>
  <c r="AN469" i="18"/>
  <c r="AN481" i="18" l="1"/>
  <c r="AM480" i="18"/>
  <c r="AN468" i="18"/>
  <c r="AM467" i="18"/>
  <c r="O465" i="52"/>
  <c r="AN480" i="18" l="1"/>
  <c r="AM479" i="18"/>
  <c r="AM466" i="18"/>
  <c r="AN467" i="18"/>
  <c r="AM478" i="18" l="1"/>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M477" i="18" l="1"/>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N477" i="18" l="1"/>
  <c r="AM476" i="18"/>
  <c r="AN464" i="18"/>
  <c r="AM463" i="18"/>
  <c r="X426" i="18"/>
  <c r="X427" i="18"/>
  <c r="X428" i="18"/>
  <c r="X429" i="18"/>
  <c r="X430" i="18"/>
  <c r="X431" i="18"/>
  <c r="AN476" i="18" l="1"/>
  <c r="AM475" i="18"/>
  <c r="AM462" i="18"/>
  <c r="AN462" i="18" s="1"/>
  <c r="AN463" i="18"/>
  <c r="O454" i="52"/>
  <c r="J454" i="52"/>
  <c r="AM474" i="18" l="1"/>
  <c r="AN475" i="18"/>
  <c r="X425" i="18"/>
  <c r="AM473" i="18" l="1"/>
  <c r="AN474" i="18"/>
  <c r="AN473" i="18" l="1"/>
  <c r="AM472" i="18"/>
  <c r="AN472" i="18" s="1"/>
  <c r="X424" i="18"/>
  <c r="X423" i="18"/>
  <c r="X422" i="18" l="1"/>
  <c r="X421" i="18"/>
  <c r="X420" i="18" l="1"/>
  <c r="X419" i="18" l="1"/>
  <c r="X418" i="18" l="1"/>
  <c r="X417" i="18" l="1"/>
  <c r="X416" i="18" l="1"/>
  <c r="X415" i="18" l="1"/>
  <c r="O455" i="52" l="1"/>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14" i="18"/>
  <c r="P454" i="52" l="1"/>
  <c r="P456" i="52"/>
  <c r="P460" i="52"/>
  <c r="P453" i="52"/>
  <c r="P449" i="52"/>
  <c r="P445" i="52"/>
  <c r="P461" i="52"/>
  <c r="P452" i="52"/>
  <c r="P448" i="52"/>
  <c r="P459" i="52"/>
  <c r="P450" i="52"/>
  <c r="P446" i="52"/>
  <c r="P442" i="52"/>
  <c r="P457" i="52"/>
  <c r="P455" i="52"/>
  <c r="P451" i="52"/>
  <c r="P447" i="52"/>
  <c r="P462" i="52"/>
  <c r="P458" i="52"/>
  <c r="P444" i="52"/>
  <c r="P443" i="52"/>
  <c r="X413" i="18"/>
  <c r="X412" i="18" l="1"/>
  <c r="X411" i="18" l="1"/>
  <c r="X410" i="18" l="1"/>
  <c r="X409" i="18" l="1"/>
  <c r="G1" i="63" l="1"/>
  <c r="N2" i="63" l="1"/>
  <c r="X408" i="18"/>
  <c r="X407" i="18" l="1"/>
  <c r="X406" i="18" l="1"/>
  <c r="X405" i="18" l="1"/>
  <c r="X404" i="18" l="1"/>
  <c r="X403" i="18" l="1"/>
  <c r="X402" i="18" l="1"/>
  <c r="X398" i="18" l="1"/>
  <c r="X401" i="18"/>
  <c r="X400" i="18" l="1"/>
  <c r="X399" i="18" l="1"/>
  <c r="X397" i="18" l="1"/>
  <c r="X396" i="18" l="1"/>
  <c r="X394" i="18" l="1"/>
  <c r="X393" i="18"/>
  <c r="X392" i="18"/>
  <c r="X389" i="18"/>
  <c r="X390" i="18"/>
  <c r="X391" i="18"/>
  <c r="X388" i="18"/>
  <c r="X395" i="18"/>
  <c r="X386" i="18" l="1"/>
  <c r="X385" i="18" l="1"/>
  <c r="X384" i="18" l="1"/>
  <c r="X383" i="18" l="1"/>
  <c r="X382" i="18" l="1"/>
  <c r="X381" i="18" l="1"/>
  <c r="X380" i="18"/>
  <c r="S27" i="63" l="1"/>
  <c r="J416" i="52" l="1"/>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9" i="18"/>
  <c r="P440" i="52" l="1"/>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78" i="18"/>
  <c r="X377" i="18" l="1"/>
  <c r="X376" i="18" l="1"/>
  <c r="X375" i="18" l="1"/>
  <c r="X374" i="18" l="1"/>
  <c r="X373" i="18"/>
  <c r="X372" i="18"/>
  <c r="X371" i="18"/>
  <c r="X370" i="18" l="1"/>
  <c r="X369" i="18" l="1"/>
  <c r="R27" i="63" l="1"/>
  <c r="AN273" i="18" l="1"/>
  <c r="AN274" i="18"/>
  <c r="AN247" i="18" l="1"/>
  <c r="AN246" i="18" l="1"/>
  <c r="AN245" i="18" l="1"/>
  <c r="AN244" i="18" l="1"/>
  <c r="Q390" i="52"/>
  <c r="O390" i="52"/>
  <c r="J390" i="52"/>
  <c r="AN243" i="18" l="1"/>
  <c r="X368" i="18"/>
  <c r="AM241" i="18" l="1"/>
  <c r="AN242" i="18"/>
  <c r="AM240" i="18" l="1"/>
  <c r="AN241" i="18"/>
  <c r="X367" i="18"/>
  <c r="AM239" i="18" l="1"/>
  <c r="AN240" i="18"/>
  <c r="X366" i="18"/>
  <c r="AM238" i="18" l="1"/>
  <c r="AN239" i="18"/>
  <c r="AM237" i="18" l="1"/>
  <c r="AN238" i="18"/>
  <c r="AM236" i="18" l="1"/>
  <c r="AN237" i="18"/>
  <c r="G55" i="10"/>
  <c r="G56" i="10"/>
  <c r="G57" i="10"/>
  <c r="G58" i="10"/>
  <c r="G59" i="10"/>
  <c r="G60" i="10"/>
  <c r="G61" i="10"/>
  <c r="G62" i="10"/>
  <c r="G63" i="10"/>
  <c r="G64" i="10"/>
  <c r="G65" i="10"/>
  <c r="G66" i="10"/>
  <c r="G67" i="10"/>
  <c r="G68" i="10"/>
  <c r="G69" i="10"/>
  <c r="G70" i="10"/>
  <c r="G71" i="10"/>
  <c r="G72" i="10"/>
  <c r="G54" i="10"/>
  <c r="AM235" i="18" l="1"/>
  <c r="AN236" i="18"/>
  <c r="X365" i="18"/>
  <c r="X364" i="18"/>
  <c r="X363" i="18"/>
  <c r="X362" i="18"/>
  <c r="X361"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56" i="18"/>
  <c r="X357" i="18"/>
  <c r="X358" i="18"/>
  <c r="X359" i="18"/>
  <c r="X360" i="18"/>
  <c r="AM230" i="18" l="1"/>
  <c r="AN231" i="18"/>
  <c r="X355" i="18"/>
  <c r="AM229" i="18" l="1"/>
  <c r="AN230" i="18"/>
  <c r="X354" i="18"/>
  <c r="AM228" i="18" l="1"/>
  <c r="AN229" i="18"/>
  <c r="X353"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52" i="18"/>
  <c r="P374" i="52" l="1"/>
  <c r="AM227" i="18"/>
  <c r="AN228" i="18"/>
  <c r="P375" i="52"/>
  <c r="P376" i="52"/>
  <c r="P368" i="52"/>
  <c r="P373" i="52"/>
  <c r="P372" i="52"/>
  <c r="P371" i="52"/>
  <c r="P370" i="52"/>
  <c r="P369" i="52"/>
  <c r="X351" i="18"/>
  <c r="AM226" i="18" l="1"/>
  <c r="AN227" i="18"/>
  <c r="AM225" i="18" l="1"/>
  <c r="AN226" i="18"/>
  <c r="AM224" i="18" l="1"/>
  <c r="AN225" i="18"/>
  <c r="AM223" i="18" l="1"/>
  <c r="AN224" i="18"/>
  <c r="X350" i="18"/>
  <c r="AM222" i="18" l="1"/>
  <c r="AN223" i="18"/>
  <c r="O362" i="52"/>
  <c r="J362" i="52"/>
  <c r="AM221" i="18" l="1"/>
  <c r="AN222" i="18"/>
  <c r="AM220" i="18" l="1"/>
  <c r="AN221" i="18"/>
  <c r="AM461" i="18"/>
  <c r="AM219" i="18" l="1"/>
  <c r="AN220" i="18"/>
  <c r="AM460" i="18"/>
  <c r="AN461" i="18"/>
  <c r="M144" i="18"/>
  <c r="L144" i="18"/>
  <c r="AM218" i="18" l="1"/>
  <c r="AN219" i="18"/>
  <c r="AN460" i="18"/>
  <c r="AM459" i="18"/>
  <c r="M359" i="52"/>
  <c r="M360" i="52" s="1"/>
  <c r="X349" i="18"/>
  <c r="AM217" i="18" l="1"/>
  <c r="AN218" i="18"/>
  <c r="AM458" i="18"/>
  <c r="AN459" i="18"/>
  <c r="X348" i="18"/>
  <c r="AM216" i="18" l="1"/>
  <c r="AN217" i="18"/>
  <c r="AN458" i="18"/>
  <c r="AM457" i="18"/>
  <c r="X347" i="18"/>
  <c r="AM215" i="18" l="1"/>
  <c r="AN216" i="18"/>
  <c r="AM456" i="18"/>
  <c r="AN457" i="18"/>
  <c r="M143" i="18"/>
  <c r="L143" i="18"/>
  <c r="X346" i="18"/>
  <c r="AM214" i="18" l="1"/>
  <c r="AN214" i="18" s="1"/>
  <c r="AN215" i="18"/>
  <c r="AN456" i="18"/>
  <c r="AM455" i="18"/>
  <c r="X345" i="18"/>
  <c r="AM454" i="18" l="1"/>
  <c r="AN455" i="18"/>
  <c r="X344" i="18"/>
  <c r="AN454" i="18" l="1"/>
  <c r="AM453" i="18"/>
  <c r="AM452" i="18" l="1"/>
  <c r="AN453" i="18"/>
  <c r="M142" i="18"/>
  <c r="L142" i="18"/>
  <c r="AN452" i="18" l="1"/>
  <c r="AM451" i="18"/>
  <c r="M141" i="18"/>
  <c r="L141" i="18"/>
  <c r="AM450" i="18" l="1"/>
  <c r="AN451" i="18"/>
  <c r="L138" i="18"/>
  <c r="M138" i="18"/>
  <c r="L139" i="18"/>
  <c r="M139" i="18"/>
  <c r="L140" i="18"/>
  <c r="M140" i="18"/>
  <c r="L147" i="18"/>
  <c r="M147" i="18"/>
  <c r="AN450" i="18" l="1"/>
  <c r="AM449" i="18"/>
  <c r="O348" i="52"/>
  <c r="X343" i="18"/>
  <c r="AM448" i="18" l="1"/>
  <c r="AN449" i="18"/>
  <c r="X342" i="18"/>
  <c r="J347" i="52"/>
  <c r="AN448" i="18" l="1"/>
  <c r="AM447" i="18"/>
  <c r="L137" i="18"/>
  <c r="M137" i="18"/>
  <c r="M136" i="18"/>
  <c r="L136" i="18"/>
  <c r="X341" i="18"/>
  <c r="AN447" i="18" l="1"/>
  <c r="AM446" i="18"/>
  <c r="X340" i="18"/>
  <c r="AN446" i="18" l="1"/>
  <c r="AM445" i="18"/>
  <c r="AM444" i="18" l="1"/>
  <c r="AN445" i="18"/>
  <c r="AM443" i="18" l="1"/>
  <c r="AN444" i="18"/>
  <c r="X339" i="18" l="1"/>
  <c r="X338" i="18" l="1"/>
  <c r="X337" i="18" l="1"/>
  <c r="X336" i="18" l="1"/>
  <c r="N348" i="52"/>
  <c r="X335"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31" i="18" l="1"/>
  <c r="N31" i="18" s="1"/>
  <c r="N51" i="18" l="1"/>
  <c r="D73" i="60" l="1"/>
  <c r="F73" i="60" s="1"/>
  <c r="D72" i="60"/>
  <c r="F72" i="60" s="1"/>
  <c r="J319" i="52" l="1"/>
  <c r="O319" i="52" l="1"/>
  <c r="X316" i="18" l="1"/>
  <c r="X334"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9"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33" i="18"/>
  <c r="D418" i="15" l="1"/>
  <c r="F419" i="15"/>
  <c r="F418" i="15" l="1"/>
  <c r="D417" i="15"/>
  <c r="X332" i="18"/>
  <c r="O305" i="52"/>
  <c r="J305" i="52"/>
  <c r="D416" i="15" l="1"/>
  <c r="F417" i="15"/>
  <c r="D415" i="15" l="1"/>
  <c r="F416" i="15"/>
  <c r="X331" i="18"/>
  <c r="O302" i="52"/>
  <c r="F415" i="15" l="1"/>
  <c r="D414" i="15"/>
  <c r="D413" i="15" l="1"/>
  <c r="F414" i="15"/>
  <c r="D412" i="15" l="1"/>
  <c r="F413" i="15"/>
  <c r="X330" i="18"/>
  <c r="O301" i="52"/>
  <c r="F412" i="15" l="1"/>
  <c r="D411" i="15"/>
  <c r="D410" i="15" l="1"/>
  <c r="F411" i="15"/>
  <c r="X329" i="18"/>
  <c r="X328" i="18"/>
  <c r="J300" i="52"/>
  <c r="F410" i="15" l="1"/>
  <c r="D409" i="15"/>
  <c r="X327" i="18"/>
  <c r="O299" i="52"/>
  <c r="X326" i="18"/>
  <c r="X325" i="18"/>
  <c r="D408" i="15" l="1"/>
  <c r="F409" i="15"/>
  <c r="X324" i="18"/>
  <c r="X323" i="18"/>
  <c r="X322" i="18"/>
  <c r="N36" i="18"/>
  <c r="O298" i="52"/>
  <c r="D407" i="15" l="1"/>
  <c r="F408" i="15"/>
  <c r="J298" i="52"/>
  <c r="F407" i="15" l="1"/>
  <c r="D406" i="15"/>
  <c r="O297" i="52"/>
  <c r="X321" i="18"/>
  <c r="X320" i="18"/>
  <c r="X319" i="18"/>
  <c r="D405" i="15" l="1"/>
  <c r="F406" i="15"/>
  <c r="X318" i="18"/>
  <c r="J296" i="52"/>
  <c r="D404" i="15" l="1"/>
  <c r="F405" i="15"/>
  <c r="J295" i="52"/>
  <c r="F404" i="15" l="1"/>
  <c r="D403" i="15"/>
  <c r="X317" i="18"/>
  <c r="D402" i="15" l="1"/>
  <c r="F403" i="15"/>
  <c r="O296" i="52"/>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78"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15"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14"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13" i="18"/>
  <c r="D388" i="15" l="1"/>
  <c r="F389" i="15"/>
  <c r="J275" i="52"/>
  <c r="F388" i="15" l="1"/>
  <c r="D387" i="15"/>
  <c r="X312" i="18"/>
  <c r="D386" i="15" l="1"/>
  <c r="F387" i="15"/>
  <c r="J274" i="52"/>
  <c r="F386" i="15" l="1"/>
  <c r="D385" i="15"/>
  <c r="X311"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10" i="18"/>
  <c r="X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307" i="18"/>
  <c r="X306" i="18"/>
  <c r="X305" i="18"/>
  <c r="D364" i="15" l="1"/>
  <c r="F365" i="15"/>
  <c r="O223" i="52"/>
  <c r="X304" i="18"/>
  <c r="F364" i="15" l="1"/>
  <c r="D363" i="15"/>
  <c r="J222" i="52"/>
  <c r="X303" i="18"/>
  <c r="D362" i="15" l="1"/>
  <c r="F363" i="15"/>
  <c r="X302" i="18"/>
  <c r="X301" i="18"/>
  <c r="D361" i="15" l="1"/>
  <c r="F362" i="15"/>
  <c r="O220" i="52"/>
  <c r="F361" i="15" l="1"/>
  <c r="D360" i="15"/>
  <c r="X300" i="18"/>
  <c r="X299"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97" i="18"/>
  <c r="F348" i="15" l="1"/>
  <c r="D347" i="15"/>
  <c r="O210" i="52"/>
  <c r="D346" i="15" l="1"/>
  <c r="F347" i="15"/>
  <c r="J210" i="52"/>
  <c r="D345" i="15" l="1"/>
  <c r="F346" i="15"/>
  <c r="J209" i="52"/>
  <c r="O208" i="52"/>
  <c r="J208" i="52"/>
  <c r="D344" i="15" l="1"/>
  <c r="F345" i="15"/>
  <c r="X296" i="18"/>
  <c r="F344" i="15" l="1"/>
  <c r="D343" i="15"/>
  <c r="O207" i="52"/>
  <c r="J207" i="52"/>
  <c r="X295" i="18"/>
  <c r="D342" i="15" l="1"/>
  <c r="F343" i="15"/>
  <c r="X294" i="18"/>
  <c r="D341" i="15" l="1"/>
  <c r="F342" i="15"/>
  <c r="X293" i="18"/>
  <c r="D340" i="15" l="1"/>
  <c r="F341" i="15"/>
  <c r="O204" i="52"/>
  <c r="F340" i="15" l="1"/>
  <c r="D339" i="15"/>
  <c r="J203" i="52"/>
  <c r="X292"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91" i="18"/>
  <c r="X290" i="18"/>
  <c r="X289" i="18"/>
  <c r="J202" i="52"/>
  <c r="D336" i="15" l="1"/>
  <c r="F337" i="15"/>
  <c r="X288" i="18"/>
  <c r="J201" i="52"/>
  <c r="X287" i="18"/>
  <c r="F336" i="15" l="1"/>
  <c r="D335" i="15"/>
  <c r="J200" i="52"/>
  <c r="D334" i="15" l="1"/>
  <c r="F335" i="15"/>
  <c r="X286" i="18"/>
  <c r="F334" i="15" l="1"/>
  <c r="D333" i="15"/>
  <c r="D332" i="15" l="1"/>
  <c r="F333" i="15"/>
  <c r="F57" i="60"/>
  <c r="G56" i="60" s="1"/>
  <c r="F58" i="60"/>
  <c r="G57" i="60" s="1"/>
  <c r="F59" i="60"/>
  <c r="G58" i="60" s="1"/>
  <c r="F60" i="60"/>
  <c r="G59" i="60" s="1"/>
  <c r="F55" i="60"/>
  <c r="G54" i="60" s="1"/>
  <c r="F56" i="60"/>
  <c r="G55"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85" i="18"/>
  <c r="F330" i="15" l="1"/>
  <c r="D329" i="15"/>
  <c r="D328" i="15" l="1"/>
  <c r="F329" i="15"/>
  <c r="X284" i="18"/>
  <c r="D327" i="15" l="1"/>
  <c r="F328" i="15"/>
  <c r="AM213" i="18" l="1"/>
  <c r="F327" i="15"/>
  <c r="D326" i="15"/>
  <c r="AM212" i="18" l="1"/>
  <c r="AN213" i="18"/>
  <c r="F326" i="15"/>
  <c r="D325" i="15"/>
  <c r="J195" i="52"/>
  <c r="O195" i="52"/>
  <c r="J194" i="52"/>
  <c r="X283" i="18"/>
  <c r="AM211" i="18" l="1"/>
  <c r="AN212" i="18"/>
  <c r="F325" i="15"/>
  <c r="D324" i="15"/>
  <c r="N194" i="52"/>
  <c r="X282" i="18"/>
  <c r="X281" i="18"/>
  <c r="AM210" i="18" l="1"/>
  <c r="AN211" i="18"/>
  <c r="F324" i="15"/>
  <c r="D323" i="15"/>
  <c r="X280" i="18"/>
  <c r="AN210" i="18" l="1"/>
  <c r="AM209" i="18"/>
  <c r="F323" i="15"/>
  <c r="D322" i="15"/>
  <c r="S155" i="18"/>
  <c r="T155" i="18" s="1"/>
  <c r="AM208" i="18" l="1"/>
  <c r="AN209" i="18"/>
  <c r="F322" i="15"/>
  <c r="D321" i="15"/>
  <c r="X279" i="18"/>
  <c r="AN208" i="18" l="1"/>
  <c r="AM207" i="18"/>
  <c r="F321" i="15"/>
  <c r="D320" i="15"/>
  <c r="X278" i="18"/>
  <c r="O190" i="52"/>
  <c r="J190" i="52"/>
  <c r="AM206" i="18" l="1"/>
  <c r="AN207" i="18"/>
  <c r="F320" i="15"/>
  <c r="D319" i="15"/>
  <c r="X277" i="18"/>
  <c r="AN206" i="18" l="1"/>
  <c r="AM205" i="18"/>
  <c r="F319" i="15"/>
  <c r="D318" i="15"/>
  <c r="N57" i="18"/>
  <c r="N49" i="18"/>
  <c r="M76" i="18" l="1"/>
  <c r="AN205" i="18"/>
  <c r="AM204" i="18"/>
  <c r="F318" i="15"/>
  <c r="D317" i="15"/>
  <c r="O187" i="52"/>
  <c r="X276" i="18"/>
  <c r="AN204" i="18" l="1"/>
  <c r="AM203" i="18"/>
  <c r="F317" i="15"/>
  <c r="D316" i="15"/>
  <c r="J186" i="52"/>
  <c r="X275" i="18"/>
  <c r="X263" i="18"/>
  <c r="X262" i="18"/>
  <c r="AN203" i="18" l="1"/>
  <c r="AM202" i="18"/>
  <c r="F316" i="15"/>
  <c r="D315" i="15"/>
  <c r="J185" i="52"/>
  <c r="X274" i="18"/>
  <c r="AN202" i="18" l="1"/>
  <c r="AM201" i="18"/>
  <c r="F315" i="15"/>
  <c r="D314" i="15"/>
  <c r="AM200" i="18" l="1"/>
  <c r="AN201" i="18"/>
  <c r="F314" i="15"/>
  <c r="D313" i="15"/>
  <c r="AM199" i="18" l="1"/>
  <c r="AN200" i="18"/>
  <c r="F313" i="15"/>
  <c r="D312" i="15"/>
  <c r="N181" i="52"/>
  <c r="AM198" i="18" l="1"/>
  <c r="AN199" i="18"/>
  <c r="F312" i="15"/>
  <c r="D311" i="15"/>
  <c r="X273" i="18"/>
  <c r="B8" i="36"/>
  <c r="AM197" i="18" l="1"/>
  <c r="AN198" i="18"/>
  <c r="F311" i="15"/>
  <c r="D310" i="15"/>
  <c r="O178" i="52"/>
  <c r="J178" i="52"/>
  <c r="AN197" i="18" l="1"/>
  <c r="AM196" i="18"/>
  <c r="F310" i="15"/>
  <c r="D309" i="15"/>
  <c r="N52" i="18"/>
  <c r="X272" i="18"/>
  <c r="O177" i="52"/>
  <c r="J177" i="52"/>
  <c r="G126" i="18" l="1"/>
  <c r="G127" i="18" s="1"/>
  <c r="M77" i="18"/>
  <c r="AN196" i="18"/>
  <c r="AM195" i="18"/>
  <c r="F309" i="15"/>
  <c r="D308" i="15"/>
  <c r="O176" i="52"/>
  <c r="J176" i="52"/>
  <c r="AN195" i="18" l="1"/>
  <c r="AM194" i="18"/>
  <c r="F308" i="15"/>
  <c r="D307" i="15"/>
  <c r="F307" i="15" s="1"/>
  <c r="AN194" i="18" l="1"/>
  <c r="AM193" i="18"/>
  <c r="J174" i="52"/>
  <c r="X271" i="18"/>
  <c r="AN193" i="18" l="1"/>
  <c r="AM192" i="18"/>
  <c r="J168" i="52"/>
  <c r="O168" i="52"/>
  <c r="X270" i="18"/>
  <c r="AN192" i="18" l="1"/>
  <c r="AM191" i="18"/>
  <c r="AN191" i="18" s="1"/>
  <c r="O167" i="52"/>
  <c r="X269" i="18"/>
  <c r="O166" i="52" l="1"/>
  <c r="X268" i="18"/>
  <c r="X267" i="18" l="1"/>
  <c r="O165" i="52"/>
  <c r="J165" i="52"/>
  <c r="AM442" i="18" l="1"/>
  <c r="AN443" i="18"/>
  <c r="O162" i="52"/>
  <c r="J162" i="52"/>
  <c r="X266"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65" i="18"/>
  <c r="AM438" i="18" l="1"/>
  <c r="AN439" i="18"/>
  <c r="X264" i="18"/>
  <c r="AN438" i="18" l="1"/>
  <c r="AM437" i="18"/>
  <c r="AM190" i="18"/>
  <c r="AM436" i="18" l="1"/>
  <c r="AN437" i="18"/>
  <c r="AM189" i="18"/>
  <c r="AN190" i="18"/>
  <c r="N159" i="52"/>
  <c r="P160" i="52" s="1"/>
  <c r="X261"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60" i="18"/>
  <c r="X259" i="18"/>
  <c r="O150" i="52"/>
  <c r="AM431" i="18" l="1"/>
  <c r="AN432" i="18"/>
  <c r="AN185" i="18"/>
  <c r="AM184" i="18"/>
  <c r="AM430" i="18" l="1"/>
  <c r="AN431" i="18"/>
  <c r="AM183" i="18"/>
  <c r="AN184" i="18"/>
  <c r="Q146" i="52"/>
  <c r="J146" i="52"/>
  <c r="X258"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57" i="18"/>
  <c r="AN428" i="18" l="1"/>
  <c r="AM427" i="18"/>
  <c r="AN181" i="18"/>
  <c r="AM180" i="18"/>
  <c r="X256" i="18"/>
  <c r="AM426" i="18" l="1"/>
  <c r="AN427" i="18"/>
  <c r="AN180" i="18"/>
  <c r="AM179" i="18"/>
  <c r="O142" i="52"/>
  <c r="J142" i="52"/>
  <c r="X255" i="18"/>
  <c r="AM425" i="18" l="1"/>
  <c r="AN426" i="18"/>
  <c r="AN179" i="18"/>
  <c r="AM178" i="18"/>
  <c r="AN178" i="18" s="1"/>
  <c r="O140" i="52"/>
  <c r="J140" i="52"/>
  <c r="X254" i="18"/>
  <c r="AN425" i="18" l="1"/>
  <c r="AM424" i="18"/>
  <c r="X253" i="18"/>
  <c r="X252" i="18"/>
  <c r="O139" i="52"/>
  <c r="J139" i="52"/>
  <c r="AN424" i="18" l="1"/>
  <c r="AM423" i="18"/>
  <c r="X251" i="18"/>
  <c r="AN423" i="18" l="1"/>
  <c r="AM422" i="18"/>
  <c r="AN422" i="18" l="1"/>
  <c r="AM421" i="18"/>
  <c r="M41" i="52"/>
  <c r="AN421" i="18" l="1"/>
  <c r="AM420" i="18"/>
  <c r="O135" i="52"/>
  <c r="J135" i="52"/>
  <c r="AN420" i="18" l="1"/>
  <c r="AM419" i="18"/>
  <c r="AM418" i="18" l="1"/>
  <c r="AN419" i="18"/>
  <c r="X250" i="18"/>
  <c r="AM417" i="18" l="1"/>
  <c r="AN418" i="18"/>
  <c r="O132" i="52"/>
  <c r="X249" i="18"/>
  <c r="AN417" i="18" l="1"/>
  <c r="AM416" i="18"/>
  <c r="O131" i="52"/>
  <c r="O8" i="60"/>
  <c r="AM415" i="18" l="1"/>
  <c r="AN416" i="18"/>
  <c r="O130" i="52"/>
  <c r="O129" i="52"/>
  <c r="X248" i="18"/>
  <c r="X247" i="18"/>
  <c r="AM414" i="18" l="1"/>
  <c r="AN415" i="18"/>
  <c r="N129" i="52"/>
  <c r="AM413" i="18" l="1"/>
  <c r="AN414" i="18"/>
  <c r="O127" i="52"/>
  <c r="AM412" i="18" l="1"/>
  <c r="AN413" i="18"/>
  <c r="J126" i="52"/>
  <c r="O126" i="52"/>
  <c r="X246" i="18"/>
  <c r="AN412" i="18" l="1"/>
  <c r="AM411" i="18"/>
  <c r="O125" i="52"/>
  <c r="J125" i="52"/>
  <c r="AN411" i="18" l="1"/>
  <c r="AM410" i="18"/>
  <c r="X245"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44"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43" i="18"/>
  <c r="AN407" i="18" l="1"/>
  <c r="AM406" i="18"/>
  <c r="AN406" i="18" l="1"/>
  <c r="AM405" i="18"/>
  <c r="O121" i="52"/>
  <c r="J121" i="52"/>
  <c r="X242" i="18"/>
  <c r="AM404" i="18" l="1"/>
  <c r="AN405" i="18"/>
  <c r="X241" i="18"/>
  <c r="J120" i="52"/>
  <c r="AN404" i="18" l="1"/>
  <c r="AM403" i="18"/>
  <c r="AM402" i="18" l="1"/>
  <c r="AN403" i="18"/>
  <c r="O117" i="52"/>
  <c r="AN402" i="18" l="1"/>
  <c r="AM401" i="18"/>
  <c r="O116" i="52"/>
  <c r="N116" i="52"/>
  <c r="AN401" i="18" l="1"/>
  <c r="AM400" i="18"/>
  <c r="X240"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9" i="18"/>
  <c r="J108" i="52"/>
  <c r="AN392" i="18" l="1"/>
  <c r="AM391" i="18"/>
  <c r="D303" i="15"/>
  <c r="F303" i="15" s="1"/>
  <c r="X238" i="18"/>
  <c r="X237" i="18"/>
  <c r="AN391" i="18" l="1"/>
  <c r="AM390" i="18"/>
  <c r="D302" i="15"/>
  <c r="F302" i="15" s="1"/>
  <c r="O106" i="52"/>
  <c r="J106" i="52"/>
  <c r="AM389" i="18" l="1"/>
  <c r="AN390" i="18"/>
  <c r="D301" i="15"/>
  <c r="F301" i="15" s="1"/>
  <c r="J104" i="52"/>
  <c r="E276" i="15"/>
  <c r="E277" i="15"/>
  <c r="E278" i="15"/>
  <c r="E279" i="15"/>
  <c r="E280" i="15"/>
  <c r="AM388" i="18" l="1"/>
  <c r="AN389" i="18"/>
  <c r="D300" i="15"/>
  <c r="F300" i="15" s="1"/>
  <c r="X236" i="18"/>
  <c r="AM387" i="18" l="1"/>
  <c r="AN388" i="18"/>
  <c r="D299" i="15"/>
  <c r="F299" i="15" s="1"/>
  <c r="K6" i="60"/>
  <c r="N3" i="60"/>
  <c r="F8" i="60" s="1"/>
  <c r="D4" i="60"/>
  <c r="H12" i="60" l="1"/>
  <c r="J7" i="60"/>
  <c r="H11" i="60"/>
  <c r="H6" i="60"/>
  <c r="H13" i="60"/>
  <c r="H7" i="60"/>
  <c r="H8" i="60"/>
  <c r="H9" i="60"/>
  <c r="H10" i="60"/>
  <c r="H5" i="60"/>
  <c r="F12" i="60"/>
  <c r="F10" i="60"/>
  <c r="F6" i="60"/>
  <c r="F7" i="60"/>
  <c r="F5" i="60"/>
  <c r="J5" i="60"/>
  <c r="F11" i="60"/>
  <c r="F9" i="60"/>
  <c r="F13" i="60"/>
  <c r="D11" i="60"/>
  <c r="D8" i="60"/>
  <c r="AM386" i="18"/>
  <c r="AN387" i="18"/>
  <c r="J12" i="60"/>
  <c r="J8" i="60"/>
  <c r="J13" i="60"/>
  <c r="J6" i="60"/>
  <c r="J10" i="60"/>
  <c r="J11" i="60"/>
  <c r="J9" i="60"/>
  <c r="D6" i="60"/>
  <c r="D298" i="15"/>
  <c r="F298" i="15" s="1"/>
  <c r="D10" i="60"/>
  <c r="D18" i="60"/>
  <c r="D7" i="60"/>
  <c r="D19" i="60"/>
  <c r="D12" i="60"/>
  <c r="D13" i="60"/>
  <c r="D9" i="60"/>
  <c r="X235" i="18"/>
  <c r="H20" i="60" l="1"/>
  <c r="H26"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2"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34"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66" i="18"/>
  <c r="X233" i="18"/>
  <c r="X232" i="18"/>
  <c r="X231" i="18"/>
  <c r="M48" i="52"/>
  <c r="M47" i="52"/>
  <c r="N38" i="52"/>
  <c r="N37" i="52"/>
  <c r="M49" i="52"/>
  <c r="N50" i="52" s="1"/>
  <c r="AM375" i="18" l="1"/>
  <c r="AN376" i="18"/>
  <c r="D287" i="15"/>
  <c r="F287" i="15" s="1"/>
  <c r="N49" i="52"/>
  <c r="X230" i="18"/>
  <c r="AN375" i="18" l="1"/>
  <c r="AM374" i="18"/>
  <c r="D286" i="15"/>
  <c r="F286" i="15" s="1"/>
  <c r="AM373" i="18" l="1"/>
  <c r="AN374" i="18"/>
  <c r="D285" i="15"/>
  <c r="F285" i="15" s="1"/>
  <c r="X229" i="18"/>
  <c r="AM372" i="18" l="1"/>
  <c r="AN373" i="18"/>
  <c r="D284" i="15"/>
  <c r="F284" i="15" s="1"/>
  <c r="O90" i="52"/>
  <c r="O91" i="52"/>
  <c r="J91" i="52"/>
  <c r="AN372" i="18" l="1"/>
  <c r="AM371" i="18"/>
  <c r="D283" i="15"/>
  <c r="F283" i="15" s="1"/>
  <c r="N87" i="52"/>
  <c r="J87" i="52"/>
  <c r="O87" i="52"/>
  <c r="D347" i="20"/>
  <c r="D346" i="20"/>
  <c r="L33"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28" i="18"/>
  <c r="AN371" i="18" l="1"/>
  <c r="AM370" i="18"/>
  <c r="D282" i="15"/>
  <c r="F282" i="15" s="1"/>
  <c r="G32" i="57"/>
  <c r="H32" i="57"/>
  <c r="D32" i="57"/>
  <c r="I32" i="57" s="1"/>
  <c r="D345" i="20"/>
  <c r="X227" i="18"/>
  <c r="X226"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25" i="18"/>
  <c r="D343" i="20"/>
  <c r="AM366" i="18" l="1"/>
  <c r="AN367" i="18"/>
  <c r="D278" i="15"/>
  <c r="F278" i="15" s="1"/>
  <c r="X224" i="18"/>
  <c r="D342" i="20"/>
  <c r="J83" i="52"/>
  <c r="O83" i="52"/>
  <c r="X223" i="18"/>
  <c r="X222" i="18"/>
  <c r="F44" i="14"/>
  <c r="F45" i="14"/>
  <c r="F46" i="14"/>
  <c r="F47" i="14"/>
  <c r="F48" i="14"/>
  <c r="F49" i="14"/>
  <c r="F50" i="14"/>
  <c r="D341" i="20"/>
  <c r="AM365" i="18" l="1"/>
  <c r="AN366" i="18"/>
  <c r="D277" i="15"/>
  <c r="F277" i="15" s="1"/>
  <c r="AN365" i="18" l="1"/>
  <c r="AM364" i="18"/>
  <c r="D276" i="15"/>
  <c r="F276" i="15" s="1"/>
  <c r="X221" i="18"/>
  <c r="AM363" i="18" l="1"/>
  <c r="AN364" i="18"/>
  <c r="D340" i="20"/>
  <c r="X220" i="18"/>
  <c r="H337" i="20"/>
  <c r="H338" i="20"/>
  <c r="H339" i="20"/>
  <c r="H340" i="20"/>
  <c r="H341" i="20"/>
  <c r="H368" i="20"/>
  <c r="H369" i="20"/>
  <c r="D339" i="20"/>
  <c r="AM362" i="18" l="1"/>
  <c r="AN363" i="18"/>
  <c r="B371" i="20"/>
  <c r="D332" i="20"/>
  <c r="D333" i="20"/>
  <c r="D334" i="20"/>
  <c r="D335" i="20"/>
  <c r="D336" i="20"/>
  <c r="D337" i="20"/>
  <c r="D338" i="20"/>
  <c r="D369" i="20"/>
  <c r="AM361" i="18" l="1"/>
  <c r="AN362" i="18"/>
  <c r="X219" i="18"/>
  <c r="D80" i="57"/>
  <c r="AM360" i="18" l="1"/>
  <c r="AN361" i="18"/>
  <c r="G46" i="10"/>
  <c r="AM359" i="18" l="1"/>
  <c r="AN360" i="18"/>
  <c r="D331" i="20"/>
  <c r="AM358" i="18" l="1"/>
  <c r="AN359" i="18"/>
  <c r="D330" i="20"/>
  <c r="AM357" i="18" l="1"/>
  <c r="AN358" i="18"/>
  <c r="X218" i="18"/>
  <c r="X217"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16" i="18"/>
  <c r="X215" i="18"/>
  <c r="AM345" i="18" l="1"/>
  <c r="AN346" i="18"/>
  <c r="S178"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14" i="18"/>
  <c r="X213" i="18"/>
  <c r="N36" i="52"/>
  <c r="N35" i="52"/>
  <c r="Q42" i="52"/>
  <c r="AM343" i="18" l="1"/>
  <c r="AN344" i="18"/>
  <c r="X212" i="18"/>
  <c r="X211"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10" i="18"/>
  <c r="X209" i="18"/>
  <c r="N32" i="52"/>
  <c r="N31" i="52"/>
  <c r="AM338" i="18" l="1"/>
  <c r="AN338" i="18" s="1"/>
  <c r="AN339" i="18"/>
  <c r="X208" i="18"/>
  <c r="X207" i="18"/>
  <c r="N30" i="52"/>
  <c r="N29" i="52"/>
  <c r="X206" i="18" l="1"/>
  <c r="X205" i="18"/>
  <c r="N28" i="52"/>
  <c r="N27" i="52"/>
  <c r="AM337" i="18" l="1"/>
  <c r="D313" i="20"/>
  <c r="AM336" i="18" l="1"/>
  <c r="AN337" i="18"/>
  <c r="L83" i="18"/>
  <c r="L79" i="18" l="1"/>
  <c r="N79" i="18" s="1"/>
  <c r="L80" i="18"/>
  <c r="N80" i="18" s="1"/>
  <c r="L78" i="18"/>
  <c r="N78" i="18" s="1"/>
  <c r="M83" i="18"/>
  <c r="AN336" i="18"/>
  <c r="AM335" i="18"/>
  <c r="L75" i="18"/>
  <c r="X204" i="18"/>
  <c r="X203" i="18"/>
  <c r="N24" i="52"/>
  <c r="N26" i="52"/>
  <c r="N25" i="52"/>
  <c r="AM334" i="18" l="1"/>
  <c r="AN335" i="18"/>
  <c r="L77"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202" i="18"/>
  <c r="X201" i="18"/>
  <c r="N23" i="52"/>
  <c r="N22" i="52"/>
  <c r="I368" i="20" l="1"/>
  <c r="G367" i="20"/>
  <c r="J368" i="20"/>
  <c r="K368" i="20"/>
  <c r="AM332" i="18"/>
  <c r="AN333" i="18"/>
  <c r="X200" i="18"/>
  <c r="X199"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98" i="18"/>
  <c r="X197" i="18"/>
  <c r="AM176" i="18" l="1"/>
  <c r="AN177" i="18"/>
  <c r="K362" i="20"/>
  <c r="G361" i="20"/>
  <c r="I362" i="20"/>
  <c r="J362" i="20"/>
  <c r="AM326" i="18"/>
  <c r="AN327" i="18"/>
  <c r="AM175" i="18" l="1"/>
  <c r="AN176" i="18"/>
  <c r="I361" i="20"/>
  <c r="G360" i="20"/>
  <c r="J361" i="20"/>
  <c r="K361" i="20"/>
  <c r="AM325" i="18"/>
  <c r="AN326" i="18"/>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96" i="18"/>
  <c r="X195" i="18"/>
  <c r="N17" i="52"/>
  <c r="N16" i="52"/>
  <c r="AM170" i="18" l="1"/>
  <c r="AN171" i="18"/>
  <c r="I356" i="20"/>
  <c r="G355" i="20"/>
  <c r="J356" i="20"/>
  <c r="K356" i="20"/>
  <c r="L76" i="18"/>
  <c r="AM169" i="18" l="1"/>
  <c r="AM168" i="18" s="1"/>
  <c r="AN170" i="18"/>
  <c r="J355" i="20"/>
  <c r="I355" i="20"/>
  <c r="G354" i="20"/>
  <c r="K355" i="20"/>
  <c r="X194" i="18"/>
  <c r="X193" i="18"/>
  <c r="D303" i="20"/>
  <c r="D302" i="20"/>
  <c r="X192" i="18"/>
  <c r="AM167" i="18" l="1"/>
  <c r="AN168" i="18"/>
  <c r="AN169" i="18"/>
  <c r="K354" i="20"/>
  <c r="J354" i="20"/>
  <c r="G353" i="20"/>
  <c r="I354" i="20"/>
  <c r="D301" i="20"/>
  <c r="D300" i="20"/>
  <c r="D299" i="20"/>
  <c r="AN167" i="18" l="1"/>
  <c r="AM166" i="18"/>
  <c r="I353" i="20"/>
  <c r="G352" i="20"/>
  <c r="J353" i="20"/>
  <c r="K353" i="20"/>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90" i="18"/>
  <c r="AM163" i="18" l="1"/>
  <c r="AN164" i="18"/>
  <c r="I350" i="20"/>
  <c r="J350" i="20"/>
  <c r="K350" i="20"/>
  <c r="G349" i="20"/>
  <c r="D296" i="20"/>
  <c r="D295" i="20"/>
  <c r="AN163" i="18" l="1"/>
  <c r="AM162" i="18"/>
  <c r="K349" i="20"/>
  <c r="I349" i="20"/>
  <c r="J349" i="20"/>
  <c r="G348" i="20"/>
  <c r="X189" i="18"/>
  <c r="X188"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87" i="18"/>
  <c r="X186" i="18"/>
  <c r="AN161" i="18" l="1"/>
  <c r="AM160" i="18"/>
  <c r="G346" i="20"/>
  <c r="J347" i="20"/>
  <c r="I347" i="20"/>
  <c r="K347" i="20"/>
  <c r="D293" i="20"/>
  <c r="AM159" i="18" l="1"/>
  <c r="AN160" i="18"/>
  <c r="K346" i="20"/>
  <c r="G345" i="20"/>
  <c r="J346" i="20"/>
  <c r="I346" i="20"/>
  <c r="X185" i="18"/>
  <c r="AN159" i="18" l="1"/>
  <c r="AM158" i="18"/>
  <c r="K345" i="20"/>
  <c r="G344" i="20"/>
  <c r="J345" i="20"/>
  <c r="I345" i="20"/>
  <c r="D292" i="20"/>
  <c r="C8" i="36"/>
  <c r="X184"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83"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82"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54"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10" i="18"/>
  <c r="N111" i="18"/>
  <c r="N112" i="18"/>
  <c r="N113" i="18"/>
  <c r="N114" i="18"/>
  <c r="N115" i="18"/>
  <c r="N116" i="18"/>
  <c r="N117" i="18"/>
  <c r="N109"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81"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80" i="18"/>
  <c r="AN124" i="18" l="1"/>
  <c r="AM123" i="18"/>
  <c r="AN123" i="18" l="1"/>
  <c r="AM122" i="18"/>
  <c r="AM121" i="18" l="1"/>
  <c r="AN122" i="18"/>
  <c r="X174" i="18"/>
  <c r="X175" i="18"/>
  <c r="X176" i="18"/>
  <c r="X177" i="18"/>
  <c r="X178" i="18"/>
  <c r="X179" i="18"/>
  <c r="X191" i="18"/>
  <c r="X173" i="18"/>
  <c r="AN121" i="18" l="1"/>
  <c r="AM120" i="18"/>
  <c r="N56" i="18"/>
  <c r="S174" i="18" s="1"/>
  <c r="AN120" i="18" l="1"/>
  <c r="AM119" i="18"/>
  <c r="AN119" i="18" l="1"/>
  <c r="AM118" i="18"/>
  <c r="T84" i="18"/>
  <c r="T85" i="18" s="1"/>
  <c r="S179" i="18"/>
  <c r="S177" i="18"/>
  <c r="D57" i="51"/>
  <c r="T86" i="18" l="1"/>
  <c r="T87" i="18" s="1"/>
  <c r="T88" i="18" s="1"/>
  <c r="AM117" i="18"/>
  <c r="AN118" i="18"/>
  <c r="AN117" i="18" l="1"/>
  <c r="AM116" i="18"/>
  <c r="T89" i="18"/>
  <c r="T90" i="18" s="1"/>
  <c r="N35" i="18"/>
  <c r="S176" i="18" s="1"/>
  <c r="R107"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91" i="18" l="1"/>
  <c r="T92" i="18" s="1"/>
  <c r="T93" i="18" s="1"/>
  <c r="T94" i="18" s="1"/>
  <c r="AM113" i="18"/>
  <c r="AN114" i="18"/>
  <c r="T20" i="18"/>
  <c r="T21" i="18" s="1"/>
  <c r="AM112" i="18" l="1"/>
  <c r="AN113" i="18"/>
  <c r="R150" i="18" l="1"/>
  <c r="AN112" i="18"/>
  <c r="AM111" i="18"/>
  <c r="D108" i="50"/>
  <c r="AM110" i="18" l="1"/>
  <c r="AN111" i="18"/>
  <c r="AM109" i="18" l="1"/>
  <c r="AN110" i="18"/>
  <c r="N77" i="18" l="1"/>
  <c r="AM108" i="18"/>
  <c r="AN109" i="18"/>
  <c r="N22" i="33"/>
  <c r="R22" i="33" s="1"/>
  <c r="E22" i="33" l="1"/>
  <c r="AM107" i="18"/>
  <c r="AN108" i="18"/>
  <c r="C22" i="33"/>
  <c r="J22" i="33"/>
  <c r="F22" i="33"/>
  <c r="B22" i="33"/>
  <c r="I22" i="33"/>
  <c r="L22" i="33"/>
  <c r="H22" i="33"/>
  <c r="D22" i="33"/>
  <c r="K22" i="33"/>
  <c r="G22" i="33"/>
  <c r="AN107" i="18" l="1"/>
  <c r="AM106" i="18"/>
  <c r="T95" i="18" l="1"/>
  <c r="T96" i="18" s="1"/>
  <c r="T97" i="18" s="1"/>
  <c r="T98" i="18" s="1"/>
  <c r="T99" i="18" s="1"/>
  <c r="T100"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76"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8" i="18"/>
  <c r="S175" i="18" s="1"/>
  <c r="M75" i="18" l="1"/>
  <c r="N75" i="18" s="1"/>
  <c r="S191" i="18"/>
  <c r="I126" i="18"/>
  <c r="I127" i="18" s="1"/>
  <c r="R79" i="18"/>
  <c r="AK493" i="18"/>
  <c r="AK494" i="18" s="1"/>
  <c r="AN94" i="18"/>
  <c r="AM93" i="18"/>
  <c r="AM304" i="18"/>
  <c r="AN305" i="18"/>
  <c r="U553" i="18" l="1"/>
  <c r="X160" i="18" s="1"/>
  <c r="Q48" i="18"/>
  <c r="AM92" i="18"/>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83" i="18" l="1"/>
  <c r="AK281" i="18"/>
  <c r="AK282" i="18" s="1"/>
  <c r="G305" i="20"/>
  <c r="I306" i="20"/>
  <c r="K306" i="20"/>
  <c r="J306" i="20"/>
  <c r="AM74" i="18"/>
  <c r="AN75" i="18"/>
  <c r="W556" i="18" l="1"/>
  <c r="Q29" i="18"/>
  <c r="Q36" i="18"/>
  <c r="Q35" i="18"/>
  <c r="Q49" i="18"/>
  <c r="V566" i="18"/>
  <c r="W566" i="18" s="1"/>
  <c r="G304" i="20"/>
  <c r="I305" i="20"/>
  <c r="K305" i="20"/>
  <c r="J305" i="20"/>
  <c r="AM73" i="18"/>
  <c r="AN74" i="18"/>
  <c r="S111" i="18"/>
  <c r="W74" i="18" l="1"/>
  <c r="W146" i="18"/>
  <c r="X74" i="18"/>
  <c r="Y74" i="18"/>
  <c r="W73" i="18"/>
  <c r="X73" i="18" s="1"/>
  <c r="W145" i="18"/>
  <c r="W143" i="18"/>
  <c r="X143" i="18" s="1"/>
  <c r="W144" i="18"/>
  <c r="W142" i="18"/>
  <c r="X142" i="18" s="1"/>
  <c r="W72" i="18"/>
  <c r="W141" i="18"/>
  <c r="W71" i="18"/>
  <c r="W70" i="18"/>
  <c r="W69" i="18"/>
  <c r="X69" i="18" s="1"/>
  <c r="W68" i="18"/>
  <c r="Y68" i="18" s="1"/>
  <c r="W67" i="18"/>
  <c r="X67" i="18" s="1"/>
  <c r="W149" i="18"/>
  <c r="W148" i="18"/>
  <c r="W140" i="18"/>
  <c r="X140" i="18" s="1"/>
  <c r="W66" i="18"/>
  <c r="W139" i="18"/>
  <c r="W102" i="18"/>
  <c r="W101" i="18"/>
  <c r="W65" i="18"/>
  <c r="W63" i="18"/>
  <c r="X63" i="18" s="1"/>
  <c r="W64" i="18"/>
  <c r="W138" i="18"/>
  <c r="W137" i="18"/>
  <c r="W62" i="18"/>
  <c r="W78" i="18"/>
  <c r="W136" i="18"/>
  <c r="X136" i="18" s="1"/>
  <c r="W134" i="18"/>
  <c r="X134" i="18" s="1"/>
  <c r="W135" i="18"/>
  <c r="W132" i="18"/>
  <c r="X132" i="18" s="1"/>
  <c r="W133" i="18"/>
  <c r="W61" i="18"/>
  <c r="X61" i="18" s="1"/>
  <c r="W131" i="18"/>
  <c r="W50" i="18"/>
  <c r="W54" i="18"/>
  <c r="W49" i="18"/>
  <c r="W55" i="18"/>
  <c r="W47" i="18"/>
  <c r="W51" i="18"/>
  <c r="W48" i="18"/>
  <c r="W52" i="18"/>
  <c r="W53" i="18"/>
  <c r="W100" i="18"/>
  <c r="W106" i="18"/>
  <c r="W104" i="18"/>
  <c r="W105" i="18"/>
  <c r="W99" i="18"/>
  <c r="W98" i="18"/>
  <c r="W97" i="18"/>
  <c r="W96" i="18"/>
  <c r="W95" i="18"/>
  <c r="W94" i="18"/>
  <c r="X94" i="18" s="1"/>
  <c r="W45" i="18"/>
  <c r="W46" i="18"/>
  <c r="W44" i="18"/>
  <c r="W43" i="18"/>
  <c r="W42" i="18"/>
  <c r="W41" i="18"/>
  <c r="W37" i="18"/>
  <c r="W38" i="18"/>
  <c r="W39" i="18"/>
  <c r="W40" i="18"/>
  <c r="W35" i="18"/>
  <c r="W36" i="18"/>
  <c r="W34" i="18"/>
  <c r="W31" i="18"/>
  <c r="W32" i="18"/>
  <c r="W33" i="18"/>
  <c r="W93" i="18"/>
  <c r="X159" i="18"/>
  <c r="X161" i="18"/>
  <c r="W115" i="18"/>
  <c r="W92" i="18"/>
  <c r="X92" i="18" s="1"/>
  <c r="W30" i="18"/>
  <c r="W29" i="18"/>
  <c r="W28" i="18"/>
  <c r="X28" i="18" s="1"/>
  <c r="W91" i="18"/>
  <c r="W90" i="18"/>
  <c r="W27" i="18"/>
  <c r="G303" i="20"/>
  <c r="K304" i="20"/>
  <c r="I304" i="20"/>
  <c r="J304" i="20"/>
  <c r="W26" i="18"/>
  <c r="X26" i="18" s="1"/>
  <c r="W89" i="18"/>
  <c r="W25" i="18"/>
  <c r="W24" i="18"/>
  <c r="X24" i="18" s="1"/>
  <c r="W88" i="18"/>
  <c r="W23" i="18"/>
  <c r="Y23" i="18" s="1"/>
  <c r="W87" i="18"/>
  <c r="W86" i="18"/>
  <c r="W85" i="18"/>
  <c r="W22" i="18"/>
  <c r="W21" i="18"/>
  <c r="W20" i="18"/>
  <c r="AM72" i="18"/>
  <c r="AN73" i="18"/>
  <c r="X146" i="18" l="1"/>
  <c r="Y146" i="18"/>
  <c r="Y73" i="18"/>
  <c r="X145" i="18"/>
  <c r="Y145" i="18"/>
  <c r="Y143" i="18"/>
  <c r="X144" i="18"/>
  <c r="Y144" i="18"/>
  <c r="Y142" i="18"/>
  <c r="X72" i="18"/>
  <c r="Y72" i="18"/>
  <c r="X141" i="18"/>
  <c r="Y141" i="18"/>
  <c r="Y69" i="18"/>
  <c r="X70" i="18"/>
  <c r="Y70" i="18"/>
  <c r="X71" i="18"/>
  <c r="Y71" i="18"/>
  <c r="Y67" i="18"/>
  <c r="X68" i="18"/>
  <c r="X148" i="18"/>
  <c r="Y148" i="18"/>
  <c r="X149" i="18"/>
  <c r="Y149" i="18"/>
  <c r="Y140" i="18"/>
  <c r="X66" i="18"/>
  <c r="Y66" i="18"/>
  <c r="X139" i="18"/>
  <c r="Y139" i="18"/>
  <c r="X101" i="18"/>
  <c r="Y101" i="18"/>
  <c r="X102" i="18"/>
  <c r="Y102" i="18"/>
  <c r="X65" i="18"/>
  <c r="Y65" i="18"/>
  <c r="Y63" i="18"/>
  <c r="X64" i="18"/>
  <c r="Y64" i="18"/>
  <c r="Y138" i="18"/>
  <c r="X138" i="18"/>
  <c r="Y137" i="18"/>
  <c r="X137" i="18"/>
  <c r="X78" i="18"/>
  <c r="Y78" i="18"/>
  <c r="X62" i="18"/>
  <c r="Y62" i="18"/>
  <c r="Y136" i="18"/>
  <c r="Y134" i="18"/>
  <c r="Y135" i="18"/>
  <c r="X135" i="18"/>
  <c r="Y132" i="18"/>
  <c r="X133" i="18"/>
  <c r="Y133" i="18"/>
  <c r="Y61" i="18"/>
  <c r="X131" i="18"/>
  <c r="Y131" i="18"/>
  <c r="X52" i="18"/>
  <c r="Y52" i="18"/>
  <c r="X55" i="18"/>
  <c r="Y55" i="18"/>
  <c r="X48" i="18"/>
  <c r="Y48" i="18"/>
  <c r="Y49" i="18"/>
  <c r="X49" i="18"/>
  <c r="X51" i="18"/>
  <c r="Y51" i="18"/>
  <c r="X54" i="18"/>
  <c r="Y54" i="18"/>
  <c r="Y53" i="18"/>
  <c r="X53" i="18"/>
  <c r="X47" i="18"/>
  <c r="Y47" i="18"/>
  <c r="X50" i="18"/>
  <c r="Y50" i="18"/>
  <c r="Y105" i="18"/>
  <c r="X105" i="18"/>
  <c r="Y104" i="18"/>
  <c r="X104" i="18"/>
  <c r="X106" i="18"/>
  <c r="Y106" i="18"/>
  <c r="X100" i="18"/>
  <c r="Y100" i="18"/>
  <c r="X165" i="18"/>
  <c r="Y94" i="18"/>
  <c r="X98" i="18"/>
  <c r="Y98" i="18"/>
  <c r="X99" i="18"/>
  <c r="Y99" i="18"/>
  <c r="X97" i="18"/>
  <c r="Y97" i="18"/>
  <c r="X96" i="18"/>
  <c r="Y96" i="18"/>
  <c r="Y95" i="18"/>
  <c r="X95"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93" i="18"/>
  <c r="Y93" i="18"/>
  <c r="Y92" i="18"/>
  <c r="Y30" i="18"/>
  <c r="X30" i="18"/>
  <c r="X29" i="18"/>
  <c r="Y29" i="18"/>
  <c r="Y28" i="18"/>
  <c r="X91" i="18"/>
  <c r="Y91" i="18"/>
  <c r="X90" i="18"/>
  <c r="Y90" i="18"/>
  <c r="X27" i="18"/>
  <c r="Y27" i="18"/>
  <c r="G128" i="18"/>
  <c r="G302" i="20"/>
  <c r="K303" i="20"/>
  <c r="I303" i="20"/>
  <c r="J303" i="20"/>
  <c r="Y26" i="18"/>
  <c r="X89" i="18"/>
  <c r="Y89" i="18"/>
  <c r="X25" i="18"/>
  <c r="Y25" i="18"/>
  <c r="Y24" i="18"/>
  <c r="X88" i="18"/>
  <c r="Y88" i="18"/>
  <c r="X23" i="18"/>
  <c r="X87" i="18"/>
  <c r="Y87" i="18"/>
  <c r="X86" i="18"/>
  <c r="Y86" i="18"/>
  <c r="X158" i="18"/>
  <c r="X164" i="18" s="1"/>
  <c r="Y85" i="18"/>
  <c r="X85" i="18"/>
  <c r="X22" i="18"/>
  <c r="Y22" i="18"/>
  <c r="X20" i="18"/>
  <c r="Y20" i="18"/>
  <c r="X115" i="18"/>
  <c r="Y115" i="18"/>
  <c r="X21" i="18"/>
  <c r="Y21" i="18"/>
  <c r="AM71" i="18"/>
  <c r="AN72" i="18"/>
  <c r="Y158" i="18" l="1"/>
  <c r="X166" i="18"/>
  <c r="X167" i="18" s="1"/>
  <c r="L34" i="18" s="1"/>
  <c r="N64" i="18"/>
  <c r="I128" i="18"/>
  <c r="I129" i="18"/>
  <c r="G129" i="18"/>
  <c r="G301" i="20"/>
  <c r="I302" i="20"/>
  <c r="K302" i="20"/>
  <c r="J302" i="20"/>
  <c r="AM70" i="18"/>
  <c r="AN71" i="18"/>
  <c r="Z158" i="18" l="1"/>
  <c r="AA158" i="18"/>
  <c r="Y161" i="18"/>
  <c r="Y159" i="18"/>
  <c r="Y160" i="18"/>
  <c r="G130" i="18"/>
  <c r="I130"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AA159" i="18" l="1"/>
  <c r="Z159" i="18"/>
  <c r="Z161" i="18"/>
  <c r="AA161" i="18"/>
  <c r="AA160" i="18"/>
  <c r="Z160" i="18"/>
  <c r="G299" i="20"/>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7"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8"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8" i="18" s="1"/>
  <c r="F24" i="18" l="1"/>
  <c r="G113" i="20"/>
  <c r="J114" i="20"/>
  <c r="I114" i="20"/>
  <c r="K114" i="20"/>
  <c r="L69" i="18"/>
  <c r="E33" i="13"/>
  <c r="G34" i="13"/>
  <c r="F108" i="15"/>
  <c r="C20" i="18"/>
  <c r="G20" i="14"/>
  <c r="G21" i="14"/>
  <c r="G112" i="20" l="1"/>
  <c r="K113" i="20"/>
  <c r="J113" i="20"/>
  <c r="I113" i="20"/>
  <c r="L70"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7" i="18" l="1"/>
  <c r="B24" i="26"/>
  <c r="B2" i="27" s="1"/>
  <c r="G2" i="26"/>
  <c r="G25" i="26" s="1"/>
  <c r="G84" i="20"/>
  <c r="J85" i="20"/>
  <c r="I85" i="20"/>
  <c r="K85" i="20"/>
  <c r="E48" i="18"/>
  <c r="I2" i="22"/>
  <c r="I25" i="22" s="1"/>
  <c r="I30" i="22" s="1"/>
  <c r="D24" i="22"/>
  <c r="C24" i="23"/>
  <c r="C2" i="24" s="1"/>
  <c r="H2" i="23"/>
  <c r="D2" i="23"/>
  <c r="G5" i="13"/>
  <c r="E4" i="13"/>
  <c r="F79" i="15"/>
  <c r="C49" i="18"/>
  <c r="T118" i="18" l="1"/>
  <c r="T119" i="18" s="1"/>
  <c r="T120" i="18" s="1"/>
  <c r="T121" i="18" s="1"/>
  <c r="W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20" i="18" l="1"/>
  <c r="Y120" i="18" s="1"/>
  <c r="X116" i="18"/>
  <c r="Y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21" i="18" l="1"/>
  <c r="X120" i="18"/>
  <c r="W117" i="18"/>
  <c r="G2" i="29"/>
  <c r="G25" i="29" s="1"/>
  <c r="B24" i="29"/>
  <c r="B2" i="30" s="1"/>
  <c r="I2" i="25"/>
  <c r="I25" i="25" s="1"/>
  <c r="I30" i="25" s="1"/>
  <c r="D24" i="25"/>
  <c r="C24" i="26"/>
  <c r="C2" i="27" s="1"/>
  <c r="H2" i="26"/>
  <c r="H25" i="26" s="1"/>
  <c r="H30" i="26" s="1"/>
  <c r="D2" i="26"/>
  <c r="G81" i="20"/>
  <c r="K82" i="20"/>
  <c r="I82" i="20"/>
  <c r="J82" i="20"/>
  <c r="F76" i="15"/>
  <c r="C52" i="18"/>
  <c r="E51" i="18"/>
  <c r="X121" i="18" l="1"/>
  <c r="Y121" i="18"/>
  <c r="X117" i="18"/>
  <c r="Y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8" i="18" l="1"/>
  <c r="I2" i="48"/>
  <c r="I28" i="48" s="1"/>
  <c r="I33" i="48" s="1"/>
  <c r="D27" i="48"/>
  <c r="B32" i="55"/>
  <c r="B2" i="57" s="1"/>
  <c r="G2" i="55"/>
  <c r="G33" i="55" s="1"/>
  <c r="C27" i="50"/>
  <c r="C2" i="51" s="1"/>
  <c r="H2" i="50"/>
  <c r="H28" i="50" s="1"/>
  <c r="H33" i="50" s="1"/>
  <c r="D2" i="50"/>
  <c r="G68" i="20"/>
  <c r="I69" i="20"/>
  <c r="J69" i="20"/>
  <c r="K69" i="20"/>
  <c r="F63" i="15"/>
  <c r="Y118" i="18" l="1"/>
  <c r="X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9" i="18" l="1"/>
  <c r="X119" i="18" s="1"/>
  <c r="H2" i="58"/>
  <c r="H35" i="58" s="1"/>
  <c r="H40" i="58" s="1"/>
  <c r="C34" i="58"/>
  <c r="D2" i="58"/>
  <c r="I2" i="57"/>
  <c r="I35" i="57" s="1"/>
  <c r="I40" i="57" s="1"/>
  <c r="D34" i="57"/>
  <c r="G63" i="20"/>
  <c r="K64" i="20"/>
  <c r="J64" i="20"/>
  <c r="I64" i="20"/>
  <c r="F58" i="15"/>
  <c r="Y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22" i="18" l="1"/>
  <c r="G57" i="20"/>
  <c r="I58" i="20"/>
  <c r="J58" i="20"/>
  <c r="K58" i="20"/>
  <c r="F52" i="15"/>
  <c r="T123" i="18" l="1"/>
  <c r="T124" i="18" s="1"/>
  <c r="T125" i="18" s="1"/>
  <c r="W122" i="18"/>
  <c r="G56" i="20"/>
  <c r="K57" i="20"/>
  <c r="J57" i="20"/>
  <c r="I57" i="20"/>
  <c r="F51" i="15"/>
  <c r="Y122" i="18" l="1"/>
  <c r="X122" i="18"/>
  <c r="W123" i="18"/>
  <c r="G55" i="20"/>
  <c r="I56" i="20"/>
  <c r="K56" i="20"/>
  <c r="J56" i="20"/>
  <c r="F50" i="15"/>
  <c r="X123" i="18" l="1"/>
  <c r="Y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24" i="18" l="1"/>
  <c r="X124" i="18" s="1"/>
  <c r="G34" i="20"/>
  <c r="J35" i="20"/>
  <c r="K35" i="20"/>
  <c r="I35" i="20"/>
  <c r="F29" i="15"/>
  <c r="Y124"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25" i="18" l="1"/>
  <c r="X125" i="18" s="1"/>
  <c r="T126" i="18"/>
  <c r="T127" i="18" s="1"/>
  <c r="T128" i="18" s="1"/>
  <c r="G19" i="20"/>
  <c r="I20" i="20"/>
  <c r="J20" i="20"/>
  <c r="K20" i="20"/>
  <c r="F14" i="15"/>
  <c r="T129" i="18" l="1"/>
  <c r="Y125" i="18"/>
  <c r="W126" i="18"/>
  <c r="G18" i="20"/>
  <c r="J19" i="20"/>
  <c r="K19" i="20"/>
  <c r="I19" i="20"/>
  <c r="F13" i="15"/>
  <c r="T130" i="18" l="1"/>
  <c r="W130" i="18" s="1"/>
  <c r="X126" i="18"/>
  <c r="Y126" i="18"/>
  <c r="G17" i="20"/>
  <c r="K18" i="20"/>
  <c r="I18" i="20"/>
  <c r="J18" i="20"/>
  <c r="F12" i="15"/>
  <c r="Y130" i="18" l="1"/>
  <c r="X130" i="18"/>
  <c r="G16" i="20"/>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7" i="18" l="1"/>
  <c r="Y127" i="18" s="1"/>
  <c r="G8" i="20"/>
  <c r="J9" i="20"/>
  <c r="K9" i="20"/>
  <c r="I9" i="20"/>
  <c r="F2" i="15"/>
  <c r="F3" i="15"/>
  <c r="X127"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8" i="18" l="1"/>
  <c r="X128" i="18" s="1"/>
  <c r="Y128" i="18" l="1"/>
  <c r="W129" i="18" l="1"/>
  <c r="X129" i="18" s="1"/>
  <c r="Y129" i="18" l="1"/>
</calcChain>
</file>

<file path=xl/sharedStrings.xml><?xml version="1.0" encoding="utf-8"?>
<sst xmlns="http://schemas.openxmlformats.org/spreadsheetml/2006/main" count="16765" uniqueCount="6959">
  <si>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</si>
  <si>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</si>
  <si>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</si>
  <si>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</si>
  <si>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</si>
  <si>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</si>
  <si>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</si>
  <si>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</si>
  <si>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</si>
  <si>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</si>
  <si>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</si>
  <si>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</si>
  <si>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</si>
  <si>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</si>
  <si>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</si>
  <si>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</si>
  <si>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</si>
  <si>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</si>
  <si>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</si>
  <si>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</si>
  <si>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</si>
  <si>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</si>
  <si>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</si>
  <si>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</si>
  <si>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</si>
  <si>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</si>
  <si>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</si>
  <si>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</si>
  <si>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</si>
  <si>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</si>
  <si>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</si>
  <si>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</si>
  <si>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</si>
  <si>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</si>
  <si>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</si>
  <si>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</si>
  <si>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</si>
  <si>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</si>
  <si>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</si>
  <si>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</si>
  <si>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</si>
  <si>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</si>
  <si>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</si>
  <si>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</si>
  <si>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</si>
  <si>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</si>
  <si>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</si>
  <si>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</si>
  <si>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</si>
  <si>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</si>
  <si>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</si>
  <si>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</si>
  <si>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</si>
  <si>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</si>
  <si>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</si>
  <si>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</si>
  <si>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</si>
  <si>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</si>
  <si>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</si>
  <si>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</si>
  <si>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</si>
  <si>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</si>
  <si>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</si>
  <si>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</si>
  <si>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</si>
  <si>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</si>
  <si>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</si>
  <si>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</si>
  <si>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</si>
  <si>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</si>
  <si>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</si>
  <si>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</si>
  <si>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</si>
  <si>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</si>
  <si>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</si>
  <si>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</si>
  <si>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</si>
  <si>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</si>
  <si>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</si>
  <si>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</si>
  <si>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</si>
  <si>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</si>
  <si>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</si>
  <si>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</si>
  <si>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</si>
  <si>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</si>
  <si>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</si>
  <si>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</si>
  <si>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</si>
  <si>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</si>
  <si>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</si>
  <si>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</si>
  <si>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</si>
  <si>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</si>
  <si>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</si>
  <si>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</si>
  <si>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</si>
  <si>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</si>
  <si>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</si>
  <si>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</si>
  <si>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</si>
  <si>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</si>
  <si>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</si>
  <si>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</si>
  <si>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</si>
  <si>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</si>
  <si>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</si>
  <si>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</si>
  <si>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</si>
  <si>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</si>
  <si>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</si>
  <si>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</si>
  <si>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</si>
  <si>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</si>
  <si>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</si>
  <si>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</si>
  <si>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</si>
  <si>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</si>
  <si>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</si>
  <si>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</si>
  <si>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</si>
  <si>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</si>
  <si>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</si>
  <si>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</si>
  <si>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</si>
  <si>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</si>
  <si>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</si>
  <si>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</si>
  <si>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</si>
  <si>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</si>
  <si>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</si>
  <si>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</si>
  <si>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</si>
  <si>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</si>
  <si>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</si>
  <si>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</si>
  <si>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</si>
  <si>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</si>
  <si>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</si>
  <si>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</si>
  <si>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</si>
  <si>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</si>
  <si>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</si>
  <si>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</si>
  <si>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</si>
  <si>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</si>
  <si>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</si>
  <si>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</si>
  <si>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</si>
  <si>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</si>
  <si>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</si>
  <si>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</si>
  <si>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</si>
  <si>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</si>
  <si>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</si>
  <si>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</si>
  <si>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</si>
  <si>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</si>
  <si>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</si>
  <si>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</si>
  <si>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</si>
  <si>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</si>
  <si>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</si>
  <si>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</si>
  <si>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</si>
  <si>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</si>
  <si>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</si>
  <si>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</si>
  <si>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</si>
  <si>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</si>
  <si>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</si>
  <si>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</si>
  <si>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</si>
  <si>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</si>
  <si>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</si>
  <si>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</si>
  <si>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</si>
  <si>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</si>
  <si>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</si>
  <si>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</si>
  <si>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</si>
  <si>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</si>
  <si>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</si>
  <si>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</si>
  <si>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</si>
  <si>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</si>
  <si>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</si>
  <si>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</si>
  <si>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</si>
  <si>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</si>
  <si>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</si>
  <si>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</si>
  <si>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</si>
  <si>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</si>
  <si>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</si>
  <si>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</si>
  <si>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</si>
  <si>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</si>
  <si>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</si>
  <si>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</si>
  <si>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</si>
  <si>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</si>
  <si>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</si>
  <si>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</si>
  <si>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</si>
  <si>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</si>
  <si>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</si>
  <si>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</si>
  <si>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</si>
  <si>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</si>
  <si>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</si>
  <si>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</si>
  <si>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</si>
  <si>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</si>
  <si>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</si>
  <si>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</si>
  <si>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</si>
  <si>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</si>
  <si>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</si>
  <si>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</si>
  <si>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</si>
  <si>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</si>
  <si>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</si>
  <si>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</si>
  <si>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</si>
  <si>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</si>
  <si>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</si>
  <si>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</si>
  <si>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</si>
  <si>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</si>
  <si>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</si>
  <si>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</si>
  <si>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</si>
  <si>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</si>
  <si>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</si>
  <si>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</si>
  <si>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</si>
  <si>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</si>
  <si>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</si>
  <si>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</si>
  <si>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</si>
  <si>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</si>
  <si>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</si>
  <si>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</si>
  <si>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</si>
  <si>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</si>
  <si>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</si>
  <si>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</si>
  <si>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</si>
  <si>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</si>
  <si>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</si>
  <si>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</si>
  <si>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</si>
  <si>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</si>
  <si>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</si>
  <si>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</si>
  <si>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</si>
  <si>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</si>
  <si>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</si>
  <si>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</si>
  <si>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</si>
  <si>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</si>
  <si>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</si>
  <si>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</si>
  <si>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</si>
  <si>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</si>
  <si>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</si>
  <si>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</si>
  <si>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</si>
  <si>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</si>
  <si>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</si>
  <si>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</si>
  <si>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</si>
  <si>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</si>
  <si>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</si>
  <si>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</si>
  <si>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</si>
  <si>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</si>
  <si>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</si>
  <si>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</si>
  <si>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</si>
  <si>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</si>
  <si>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</si>
  <si>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</si>
  <si>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</si>
  <si>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</si>
  <si>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</si>
  <si>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</si>
  <si>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</si>
  <si>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</si>
  <si>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</si>
  <si>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</si>
  <si>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</si>
  <si>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</si>
  <si>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</si>
  <si>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</si>
  <si>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</si>
  <si>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</si>
  <si>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</si>
  <si>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</si>
  <si>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</si>
  <si>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</si>
  <si>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</si>
  <si>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</si>
  <si>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</si>
  <si>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</si>
  <si>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</si>
  <si>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</si>
  <si>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</si>
  <si>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</si>
  <si>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</si>
  <si>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</si>
  <si>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</si>
  <si>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</si>
  <si>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</si>
  <si>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</si>
  <si>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</si>
  <si>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</si>
  <si>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</si>
  <si>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</si>
  <si>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</si>
  <si>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</si>
  <si>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</si>
  <si>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</si>
  <si>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</si>
  <si>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</si>
  <si>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</si>
  <si>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</si>
  <si>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</si>
  <si>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</si>
  <si>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</si>
  <si>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</si>
  <si>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</si>
  <si>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</si>
  <si>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</si>
  <si>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</si>
  <si>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</si>
  <si>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</si>
  <si>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</si>
  <si>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</si>
  <si>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</si>
  <si>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</si>
  <si>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</si>
  <si>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</si>
  <si>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</si>
  <si>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</si>
  <si>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</si>
  <si>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</si>
  <si>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</si>
  <si>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</si>
  <si>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</si>
  <si>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</si>
  <si>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</si>
  <si>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</si>
  <si>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</si>
  <si>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</si>
  <si>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</si>
  <si>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</si>
  <si>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</si>
  <si>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</si>
  <si>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</si>
  <si>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</si>
  <si>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</si>
  <si>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</si>
  <si>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</si>
  <si>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</si>
  <si>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</si>
  <si>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</si>
  <si>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</si>
  <si>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</si>
  <si>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</si>
  <si>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</si>
  <si>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</si>
  <si>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</si>
  <si>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</si>
  <si>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</si>
  <si>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</si>
  <si>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</si>
  <si>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</si>
  <si>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</si>
  <si>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</si>
  <si>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</si>
  <si>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</si>
  <si>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</si>
  <si>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</si>
  <si>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</si>
  <si>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</si>
  <si>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</si>
  <si>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</si>
  <si>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</si>
  <si>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</si>
  <si>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</si>
  <si>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</si>
  <si>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</si>
  <si>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</si>
  <si>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</si>
  <si>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</si>
  <si>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</si>
  <si>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</si>
  <si>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</si>
  <si>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</si>
  <si>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</si>
  <si>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</si>
  <si>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</si>
  <si>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</si>
  <si>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</si>
  <si>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</si>
  <si>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</si>
  <si>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</si>
  <si>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</si>
  <si>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</si>
  <si>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</si>
  <si>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</si>
  <si>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</si>
  <si>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</si>
  <si>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</si>
  <si>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</si>
  <si>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</si>
  <si>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</si>
  <si>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</si>
  <si>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</si>
  <si>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</si>
  <si>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</si>
  <si>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</si>
  <si>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</si>
  <si>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</si>
  <si>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</si>
  <si>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</si>
  <si>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</si>
  <si>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</si>
  <si>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</si>
  <si>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</si>
  <si>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</si>
  <si>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</si>
  <si>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</si>
  <si>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</si>
  <si>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</si>
  <si>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</si>
  <si>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</si>
  <si>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</si>
  <si>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</si>
  <si>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</si>
  <si>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</si>
  <si>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</si>
  <si>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</si>
  <si>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</si>
  <si>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</si>
  <si>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</si>
  <si>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</si>
  <si>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</si>
  <si>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</si>
  <si>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</si>
  <si>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</si>
  <si>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</si>
  <si>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</si>
  <si>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</si>
  <si>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</si>
  <si>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</si>
  <si>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</si>
  <si>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</si>
  <si>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</si>
  <si>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</si>
  <si>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</si>
  <si>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</si>
  <si>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</si>
  <si>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</si>
  <si>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</si>
  <si>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</si>
  <si>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</si>
  <si>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</si>
  <si>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</si>
  <si>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</si>
  <si>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</si>
  <si>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</si>
  <si>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</si>
  <si>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</si>
  <si>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</si>
  <si>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</si>
  <si>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</si>
  <si>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</si>
  <si>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</si>
  <si>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</si>
  <si>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</si>
  <si>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</si>
  <si>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</si>
  <si>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</si>
  <si>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</si>
  <si>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</si>
  <si>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</si>
  <si>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</si>
  <si>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</si>
  <si>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</si>
  <si>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</si>
  <si>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</si>
  <si>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</si>
  <si>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</si>
  <si>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</si>
  <si>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</si>
  <si>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</si>
  <si>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</si>
  <si>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</si>
  <si>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</si>
  <si>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</si>
  <si>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</si>
  <si>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</si>
  <si>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</si>
  <si>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</si>
  <si>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</si>
  <si>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</si>
  <si>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</si>
  <si>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</si>
  <si>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</si>
  <si>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</si>
  <si>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</si>
  <si>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</si>
  <si>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</si>
  <si>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</si>
  <si>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</si>
  <si>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</si>
  <si>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</si>
  <si>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</si>
  <si>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</si>
  <si>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</si>
  <si>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</si>
  <si>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</si>
  <si>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</si>
  <si>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</si>
  <si>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</si>
  <si>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</si>
  <si>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</si>
  <si>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</si>
  <si>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</si>
  <si>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</si>
  <si>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</si>
  <si>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</si>
  <si>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</si>
  <si>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</si>
  <si>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</si>
  <si>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</si>
  <si>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</si>
  <si>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</si>
  <si>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</si>
  <si>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</si>
  <si>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</si>
  <si>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</si>
  <si>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</si>
  <si>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</si>
  <si>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</si>
  <si>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</si>
  <si>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</si>
  <si>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</si>
  <si>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</si>
  <si>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</si>
  <si>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</si>
  <si>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</si>
  <si>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</si>
  <si>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</si>
  <si>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</si>
  <si>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</si>
  <si>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</si>
  <si>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</si>
  <si>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</si>
  <si>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</si>
  <si>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</si>
  <si>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</si>
  <si>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</si>
  <si>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</si>
  <si>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</si>
  <si>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</si>
  <si>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</si>
  <si>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</si>
  <si>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</si>
  <si>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</si>
  <si>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</si>
  <si>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</si>
  <si>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</si>
  <si>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</si>
  <si>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</si>
  <si>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</si>
  <si>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</si>
  <si>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</si>
  <si>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</si>
  <si>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</si>
  <si>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</si>
  <si>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</si>
  <si>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</si>
  <si>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</si>
  <si>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</si>
  <si>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</si>
  <si>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</si>
  <si>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</si>
  <si>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</si>
  <si>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</si>
  <si>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</si>
  <si>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</si>
  <si>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</si>
  <si>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</si>
  <si>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</si>
  <si>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</si>
  <si>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</si>
  <si>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</si>
  <si>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</si>
  <si>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</si>
  <si>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</si>
  <si>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</si>
  <si>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</si>
  <si>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</si>
  <si>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</si>
  <si>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</si>
  <si>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</si>
  <si>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</si>
  <si>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</si>
  <si>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</si>
  <si>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</si>
  <si>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</si>
  <si>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</si>
  <si>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</si>
  <si>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</si>
  <si>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</si>
  <si>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</si>
  <si>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</si>
  <si>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</si>
  <si>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</si>
  <si>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</si>
  <si>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</si>
  <si>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</si>
  <si>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</si>
  <si>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</si>
  <si>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</si>
  <si>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</si>
  <si>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</si>
  <si>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</si>
  <si>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</si>
  <si>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</si>
  <si>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</si>
  <si>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</si>
  <si>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</si>
  <si>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</si>
  <si>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</si>
  <si>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</si>
  <si>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</si>
  <si>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</si>
  <si>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</si>
  <si>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</si>
  <si>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</si>
  <si>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</si>
  <si>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</si>
  <si>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</si>
  <si>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</si>
  <si>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</si>
  <si>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</si>
  <si>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</si>
  <si>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</si>
  <si>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</si>
  <si>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</si>
  <si>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</si>
  <si>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</si>
  <si>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</si>
  <si>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</si>
  <si>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</si>
  <si>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</si>
  <si>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</si>
  <si>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</si>
  <si>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</si>
  <si>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</si>
  <si>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</si>
  <si>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</si>
  <si>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</si>
  <si>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</si>
  <si>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</si>
  <si>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</si>
  <si>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</si>
  <si>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</si>
  <si>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</si>
  <si>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</si>
  <si>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</si>
  <si>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</si>
  <si>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</si>
  <si>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</si>
  <si>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</si>
  <si>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</si>
  <si>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</si>
  <si>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</si>
  <si>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</si>
  <si>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</si>
  <si>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</si>
  <si>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</si>
  <si>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</si>
  <si>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</si>
  <si>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</si>
  <si>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</si>
  <si>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</si>
  <si>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</si>
  <si>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</si>
  <si>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</si>
  <si>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</si>
  <si>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</si>
  <si>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</si>
  <si>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</si>
  <si>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</si>
  <si>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</si>
  <si>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</si>
  <si>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</si>
  <si>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</si>
  <si>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</si>
  <si>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</si>
  <si>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</si>
  <si>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</si>
  <si>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</si>
  <si>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</si>
  <si>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</si>
  <si>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</si>
  <si>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</si>
  <si>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</si>
  <si>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</si>
  <si>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</si>
  <si>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</si>
  <si>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</si>
  <si>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</si>
  <si>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</si>
  <si>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</si>
  <si>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</si>
  <si>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</si>
  <si>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</si>
  <si>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</si>
  <si>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</si>
  <si>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</si>
  <si>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</si>
  <si>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</si>
  <si>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</si>
  <si>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</si>
  <si>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</si>
  <si>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</si>
  <si>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</si>
  <si>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</si>
  <si>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</si>
  <si>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</si>
  <si>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</si>
  <si>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</si>
  <si>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</si>
  <si>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</si>
  <si>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</si>
  <si>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</si>
  <si>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</si>
  <si>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</si>
  <si>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</si>
  <si>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</si>
  <si>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</si>
  <si>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</si>
  <si>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</si>
  <si>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</si>
  <si>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</si>
  <si>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</si>
  <si>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</si>
  <si>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</si>
  <si>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</si>
  <si>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</si>
  <si>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</si>
  <si>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</si>
  <si>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</si>
  <si>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</si>
  <si>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</si>
  <si>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</si>
  <si>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</si>
  <si>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</si>
  <si>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</si>
  <si>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</si>
  <si>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</si>
  <si>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</si>
  <si>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</si>
  <si>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</si>
  <si>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</si>
  <si>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</si>
  <si>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</si>
  <si>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</si>
  <si>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</si>
  <si>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</si>
  <si>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</si>
  <si>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</si>
  <si>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</si>
  <si>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</si>
  <si>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</si>
  <si>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</si>
  <si>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</si>
  <si>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</si>
  <si>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</si>
  <si>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</si>
  <si>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</si>
  <si>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</si>
  <si>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</si>
  <si>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</si>
  <si>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</si>
  <si>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</si>
  <si>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</si>
  <si>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</si>
  <si>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</si>
  <si>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</si>
  <si>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</si>
  <si>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</si>
  <si>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</si>
  <si>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</si>
  <si>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</si>
  <si>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</si>
  <si>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</si>
  <si>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</si>
  <si>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</si>
  <si>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</si>
  <si>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</si>
  <si>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</si>
  <si>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</si>
  <si>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</si>
  <si>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</si>
  <si>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</si>
  <si>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</si>
  <si>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</si>
  <si>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</si>
  <si>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</si>
  <si>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</si>
  <si>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</si>
  <si>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</si>
  <si>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</si>
  <si>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</si>
  <si>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</si>
  <si>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</si>
  <si>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</si>
  <si>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</si>
  <si>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</si>
  <si>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</si>
  <si>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</si>
  <si>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</si>
  <si>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</si>
  <si>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</si>
  <si>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</si>
  <si>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</si>
  <si>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</si>
  <si>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</si>
  <si>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</si>
  <si>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</si>
  <si>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</si>
  <si>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</si>
  <si>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</si>
  <si>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</si>
  <si>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</si>
  <si>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</si>
  <si>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</si>
  <si>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</si>
  <si>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</si>
  <si>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</si>
  <si>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</si>
  <si>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</si>
  <si>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</si>
  <si>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</si>
  <si>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</si>
  <si>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</si>
  <si>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</si>
  <si>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</si>
  <si>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</si>
  <si>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</si>
  <si>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</si>
  <si>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</si>
  <si>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</si>
  <si>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</si>
  <si>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</si>
  <si>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</si>
  <si>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</si>
  <si>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</si>
  <si>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</si>
  <si>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</si>
  <si>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</si>
  <si>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</si>
  <si>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</si>
  <si>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</si>
  <si>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</si>
  <si>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</si>
  <si>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</si>
  <si>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</si>
  <si>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</si>
  <si>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</si>
  <si>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</si>
  <si>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</si>
  <si>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</si>
  <si>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</si>
  <si>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</si>
  <si>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</si>
  <si>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</si>
  <si>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</si>
  <si>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</si>
  <si>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</si>
  <si>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</si>
  <si>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</si>
  <si>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</si>
  <si>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</si>
  <si>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</si>
  <si>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</si>
  <si>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</si>
  <si>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</si>
  <si>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</si>
  <si>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</si>
  <si>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</si>
  <si>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</si>
  <si>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</si>
  <si>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</si>
  <si>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</si>
  <si>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</si>
  <si>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</si>
  <si>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</si>
  <si>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</si>
  <si>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</si>
  <si>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</si>
  <si>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</si>
  <si>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</si>
  <si>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</si>
  <si>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</si>
  <si>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</si>
  <si>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</si>
  <si>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</si>
  <si>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</si>
  <si>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</si>
  <si>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</si>
  <si>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</si>
  <si>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</si>
  <si>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</si>
  <si>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</si>
  <si>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</si>
  <si>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</si>
  <si>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</si>
  <si>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</si>
  <si>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</si>
  <si>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</si>
  <si>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</si>
  <si>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</si>
  <si>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</si>
  <si>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</si>
  <si>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</si>
  <si>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</si>
  <si>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</si>
  <si>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</si>
  <si>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</si>
  <si>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</si>
  <si>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</si>
  <si>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</si>
  <si>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</si>
  <si>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</si>
  <si>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</si>
  <si>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</si>
  <si>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</si>
  <si>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</si>
  <si>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</si>
  <si>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</si>
  <si>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</si>
  <si>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</si>
  <si>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</si>
  <si>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</si>
  <si>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</si>
  <si>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</si>
  <si>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</si>
  <si>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</si>
  <si>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</si>
  <si>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</si>
  <si>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</si>
  <si>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</si>
  <si>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</si>
  <si>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</si>
  <si>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</si>
  <si>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</si>
  <si>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</si>
  <si>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</si>
  <si>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</si>
  <si>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</si>
  <si>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</si>
  <si>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</si>
  <si>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</si>
  <si>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</si>
  <si>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</si>
  <si>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</si>
  <si>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</si>
  <si>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</si>
  <si>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</si>
  <si>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</si>
  <si>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</si>
  <si>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</si>
  <si>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</si>
  <si>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</si>
  <si>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</si>
  <si>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</si>
  <si>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</si>
  <si>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</si>
  <si>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</si>
  <si>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</si>
  <si>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</si>
  <si>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</si>
  <si>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</si>
  <si>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</si>
  <si>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</si>
  <si>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</si>
  <si>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</si>
  <si>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</si>
  <si>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</si>
  <si>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</si>
  <si>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</si>
  <si>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</si>
  <si>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</si>
  <si>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</si>
  <si>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</si>
  <si>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</si>
  <si>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</si>
  <si>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</si>
  <si>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</si>
  <si>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</si>
  <si>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</si>
  <si>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</si>
  <si>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</si>
  <si>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</si>
  <si>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</si>
  <si>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</si>
  <si>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</si>
  <si>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</si>
  <si>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</si>
  <si>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</si>
  <si>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</si>
  <si>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</si>
  <si>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</si>
  <si>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</si>
  <si>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</si>
  <si>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</si>
  <si>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</si>
  <si>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</si>
  <si>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</si>
  <si>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</si>
  <si>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</si>
  <si>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</si>
  <si>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</si>
  <si>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</si>
  <si>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</si>
  <si>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</si>
  <si>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</si>
  <si>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</si>
  <si>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</si>
  <si>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</si>
  <si>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</si>
  <si>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</si>
  <si>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</si>
  <si>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</si>
  <si>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</si>
  <si>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</si>
  <si>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</si>
  <si>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</si>
  <si>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</si>
  <si>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</si>
  <si>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</si>
  <si>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</si>
  <si>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</si>
  <si>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</si>
  <si>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</si>
  <si>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</si>
  <si>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</si>
  <si>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</si>
  <si>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</si>
  <si>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</si>
  <si>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</si>
  <si>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</si>
  <si>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</si>
  <si>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</si>
  <si>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</si>
  <si>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</si>
  <si>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</si>
  <si>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</si>
  <si>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</si>
  <si>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</si>
  <si>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</si>
  <si>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</si>
  <si>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</si>
  <si>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</si>
  <si>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</si>
  <si>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</si>
  <si>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</si>
  <si>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</si>
  <si>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</si>
  <si>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</si>
  <si>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</si>
  <si>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</si>
  <si>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</si>
  <si>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</si>
  <si>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</si>
  <si>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</si>
  <si>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</si>
  <si>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</si>
  <si>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</si>
  <si>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</si>
  <si>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</si>
  <si>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</si>
  <si>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</si>
  <si>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</si>
  <si>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</si>
  <si>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</si>
  <si>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</si>
  <si>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</si>
  <si>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</si>
  <si>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</si>
  <si>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</si>
  <si>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</si>
  <si>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</si>
  <si>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</si>
  <si>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</si>
  <si>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</si>
  <si>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</si>
  <si>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</si>
  <si>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</si>
  <si>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</si>
  <si>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</si>
  <si>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</si>
  <si>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</si>
  <si>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</si>
  <si>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</si>
  <si>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</si>
  <si>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</si>
  <si>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</si>
  <si>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</si>
  <si>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</si>
  <si>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</si>
  <si>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</si>
  <si>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</si>
  <si>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</si>
  <si>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</si>
  <si>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</si>
  <si>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</si>
  <si>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</si>
  <si>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</si>
  <si>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</si>
  <si>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</si>
  <si>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</si>
  <si>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</si>
  <si>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</si>
  <si>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</si>
  <si>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</si>
  <si>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</si>
  <si>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</si>
  <si>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</si>
  <si>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</si>
  <si>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</si>
  <si>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</si>
  <si>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</si>
  <si>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</si>
  <si>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</si>
  <si>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</si>
  <si>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</si>
  <si>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</si>
  <si>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</si>
  <si>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</si>
  <si>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</si>
  <si>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</si>
  <si>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</si>
  <si>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</si>
  <si>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</si>
  <si>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</si>
  <si>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</si>
  <si>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</si>
  <si>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</si>
  <si>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</si>
  <si>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</si>
  <si>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</si>
  <si>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</si>
  <si>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</si>
  <si>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</si>
  <si>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</si>
  <si>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</si>
  <si>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</si>
  <si>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</si>
  <si>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</si>
  <si>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</si>
  <si>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</si>
  <si>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</si>
  <si>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</si>
  <si>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</si>
  <si>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</si>
  <si>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</si>
  <si>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</si>
  <si>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</si>
  <si>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</si>
  <si>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</si>
  <si>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</si>
  <si>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</si>
  <si>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</si>
  <si>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</si>
  <si>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</si>
  <si>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</si>
  <si>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</si>
  <si>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</si>
  <si>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</si>
  <si>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</si>
  <si>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</si>
  <si>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</si>
  <si>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</si>
  <si>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</si>
  <si>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</si>
  <si>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</si>
  <si>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</si>
  <si>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</si>
  <si>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</si>
  <si>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</si>
  <si>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</si>
  <si>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</si>
  <si>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</si>
  <si>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</si>
  <si>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</si>
  <si>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</si>
  <si>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</si>
  <si>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</si>
  <si>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</si>
  <si>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</si>
  <si>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</si>
  <si>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</si>
  <si>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</si>
  <si>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</si>
  <si>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</si>
  <si>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</si>
  <si>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</si>
  <si>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</si>
  <si>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</si>
  <si>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</si>
  <si>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</si>
  <si>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</si>
  <si>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</si>
  <si>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</si>
  <si>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</si>
  <si>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</si>
  <si>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</si>
  <si>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</si>
  <si>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</si>
  <si>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</si>
  <si>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</si>
  <si>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</si>
  <si>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</si>
  <si>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</si>
  <si>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</si>
  <si>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</si>
  <si>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</si>
  <si>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</si>
  <si>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</si>
  <si>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</si>
  <si>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</si>
  <si>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</si>
  <si>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</si>
  <si>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</si>
  <si>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</si>
  <si>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</si>
  <si>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</si>
  <si>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</si>
  <si>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</si>
  <si>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</si>
  <si>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</si>
  <si>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</si>
  <si>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</si>
  <si>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</si>
  <si>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</si>
  <si>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</si>
  <si>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</si>
  <si>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</si>
  <si>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</si>
  <si>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</si>
  <si>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</si>
  <si>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</si>
  <si>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</si>
  <si>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</si>
  <si>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</si>
  <si>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</si>
  <si>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</si>
  <si>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</si>
  <si>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</si>
  <si>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</si>
  <si>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</si>
  <si>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</si>
  <si>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</si>
  <si>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</si>
  <si>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</si>
  <si>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</si>
  <si>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</si>
  <si>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</si>
  <si>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</si>
  <si>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</si>
  <si>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</si>
  <si>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</si>
  <si>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</si>
  <si>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</si>
  <si>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</si>
  <si>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</si>
  <si>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</si>
  <si>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</si>
  <si>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</si>
  <si>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</si>
  <si>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</si>
  <si>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</si>
  <si>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</si>
  <si>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</si>
  <si>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</si>
  <si>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</si>
  <si>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</si>
  <si>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</si>
  <si>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</si>
  <si>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</si>
  <si>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</si>
  <si>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</si>
  <si>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</si>
  <si>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</si>
  <si>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</si>
  <si>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</si>
  <si>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</si>
  <si>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</si>
  <si>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</si>
  <si>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</si>
  <si>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</si>
  <si>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</si>
  <si>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</si>
  <si>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</si>
  <si>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</si>
  <si>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</si>
  <si>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</si>
  <si>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</si>
  <si>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</si>
  <si>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</si>
  <si>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</si>
  <si>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</si>
  <si>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</si>
  <si>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</si>
  <si>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</si>
  <si>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</si>
  <si>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</si>
  <si>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</si>
  <si>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</si>
  <si>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</si>
  <si>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</si>
  <si>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</si>
  <si>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</si>
  <si>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</si>
  <si>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</si>
  <si>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</si>
  <si>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</si>
  <si>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</si>
  <si>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</si>
  <si>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</si>
  <si>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</si>
  <si>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</si>
  <si>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</si>
  <si>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</si>
  <si>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</si>
  <si>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</si>
  <si>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</si>
  <si>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</si>
  <si>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</si>
  <si>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</si>
  <si>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</si>
  <si>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</si>
  <si>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</si>
  <si>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</si>
  <si>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</si>
  <si>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</si>
  <si>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</si>
  <si>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</si>
  <si>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</si>
  <si>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</si>
  <si>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</si>
  <si>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</si>
  <si>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</si>
  <si>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</si>
  <si>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</si>
  <si>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</si>
  <si>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</si>
  <si>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</si>
  <si>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</si>
  <si>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</si>
  <si>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</si>
  <si>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</si>
  <si>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</si>
  <si>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</si>
  <si>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</si>
  <si>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</si>
  <si>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</si>
  <si>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</si>
  <si>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</si>
  <si>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</si>
  <si>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</si>
  <si>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</si>
  <si>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</si>
  <si>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</si>
  <si>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</si>
  <si>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</si>
  <si>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</si>
  <si>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</si>
  <si>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</si>
  <si>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</si>
  <si>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</si>
  <si>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</si>
  <si>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</si>
  <si>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</si>
  <si>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</si>
  <si>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</si>
  <si>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</si>
  <si>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</si>
  <si>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</si>
  <si>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</si>
  <si>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</si>
  <si>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</si>
  <si>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</si>
  <si>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</si>
  <si>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</si>
  <si>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</si>
  <si>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</si>
  <si>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</si>
  <si>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</si>
  <si>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</si>
  <si>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</si>
  <si>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</si>
  <si>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</si>
  <si>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</si>
  <si>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</si>
  <si>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</si>
  <si>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</si>
  <si>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</si>
  <si>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</si>
  <si>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</si>
  <si>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</si>
  <si>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</si>
  <si>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</si>
  <si>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</si>
  <si>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</si>
  <si>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</si>
  <si>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</si>
  <si>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</si>
  <si>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</si>
  <si>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</si>
  <si>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</si>
  <si>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</si>
  <si>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</si>
  <si>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</si>
  <si>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</si>
  <si>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</si>
  <si>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</si>
  <si>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</si>
  <si>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</si>
  <si>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</si>
  <si>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</si>
  <si>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</si>
  <si>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</si>
  <si>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</si>
  <si>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</si>
  <si>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</si>
  <si>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</si>
  <si>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</si>
  <si>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</si>
  <si>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</si>
  <si>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</si>
  <si>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</si>
  <si>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</si>
  <si>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</si>
  <si>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</si>
  <si>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</si>
  <si>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</si>
  <si>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</si>
  <si>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</si>
  <si>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</si>
  <si>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</si>
  <si>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</si>
  <si>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</si>
  <si>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</si>
  <si>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</si>
  <si>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</si>
  <si>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</si>
  <si>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</si>
  <si>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</si>
  <si>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</si>
  <si>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</si>
  <si>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</si>
  <si>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</si>
  <si>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</si>
  <si>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</si>
  <si>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</si>
  <si>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</si>
  <si>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</si>
  <si>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</si>
  <si>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</si>
  <si>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</si>
  <si>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</si>
  <si>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</si>
  <si>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</si>
  <si>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</si>
  <si>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</si>
  <si>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</si>
  <si>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</si>
  <si>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</si>
  <si>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</si>
  <si>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</si>
  <si>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</si>
  <si>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</si>
  <si>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</si>
  <si>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</si>
  <si>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</si>
  <si>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</si>
  <si>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</si>
  <si>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</si>
  <si>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</si>
  <si>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</si>
  <si>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</si>
  <si>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</si>
  <si>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</si>
  <si>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</si>
  <si>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</si>
  <si>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</si>
  <si>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</si>
  <si>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</si>
  <si>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</si>
  <si>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</si>
  <si>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</si>
  <si>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</si>
  <si>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</si>
  <si>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</si>
  <si>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</si>
  <si>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</si>
  <si>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</si>
  <si>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</si>
  <si>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</si>
  <si>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</si>
  <si>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</si>
  <si>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</si>
  <si>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</si>
  <si>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</si>
  <si>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</si>
  <si>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</si>
  <si>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</si>
  <si>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</si>
  <si>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</si>
  <si>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</si>
  <si>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</si>
  <si>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</si>
  <si>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</si>
  <si>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</si>
  <si>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</si>
  <si>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</si>
  <si>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</si>
  <si>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</si>
  <si>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</si>
  <si>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</si>
  <si>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</si>
  <si>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</si>
  <si>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</si>
  <si>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</si>
  <si>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</si>
  <si>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</si>
  <si>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</si>
  <si>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</si>
  <si>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</si>
  <si>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</si>
  <si>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</si>
  <si>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</si>
  <si>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</si>
  <si>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</si>
  <si>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</si>
  <si>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</si>
  <si>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</si>
  <si>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</si>
  <si>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</si>
  <si>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</si>
  <si>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</si>
  <si>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</si>
  <si>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</si>
  <si>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</si>
  <si>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</si>
  <si>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</si>
  <si>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</si>
  <si>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</si>
  <si>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</si>
  <si>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</si>
  <si>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</si>
  <si>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</si>
  <si>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</si>
  <si>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</si>
  <si>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</si>
  <si>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</si>
  <si>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</si>
  <si>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</si>
  <si>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</si>
  <si>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</si>
  <si>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</si>
  <si>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</si>
  <si>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</si>
  <si>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</si>
  <si>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</si>
  <si>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</si>
  <si>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</si>
  <si>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</si>
  <si>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</si>
  <si>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</si>
  <si>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</si>
  <si>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</si>
  <si>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</si>
  <si>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</si>
  <si>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</si>
  <si>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</si>
  <si>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</si>
  <si>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</si>
  <si>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</si>
  <si>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</si>
  <si>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</si>
  <si>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</si>
  <si>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</si>
  <si>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</si>
  <si>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</si>
  <si>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</si>
  <si>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</si>
  <si>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</si>
  <si>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</si>
  <si>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</si>
  <si>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</si>
  <si>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</si>
  <si>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</si>
  <si>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</si>
  <si>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</si>
  <si>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</si>
  <si>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</si>
  <si>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</si>
  <si>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</si>
  <si>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</si>
  <si>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</si>
  <si>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</si>
  <si>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</si>
  <si>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</si>
  <si>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</si>
  <si>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</si>
  <si>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</si>
  <si>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</si>
  <si>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</si>
  <si>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</si>
  <si>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</si>
  <si>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</si>
  <si>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</si>
  <si>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</si>
  <si>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</si>
  <si>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</si>
  <si>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</si>
  <si>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</si>
  <si>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</si>
  <si>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</si>
  <si>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</si>
  <si>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</si>
  <si>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</si>
  <si>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</si>
  <si>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</si>
  <si>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</si>
  <si>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</si>
  <si>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</si>
  <si>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</si>
  <si>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</si>
  <si>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</si>
  <si>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</si>
  <si>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</si>
  <si>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</si>
  <si>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</si>
  <si>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</si>
  <si>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</si>
  <si>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</si>
  <si>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</si>
  <si>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</si>
  <si>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</si>
  <si>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</si>
  <si>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</si>
  <si>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</si>
  <si>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</si>
  <si>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</si>
  <si>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</si>
  <si>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</si>
  <si>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</si>
  <si>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</si>
  <si>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</si>
  <si>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</si>
  <si>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</si>
  <si>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</si>
  <si>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</si>
  <si>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</si>
  <si>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</si>
  <si>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</si>
  <si>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</si>
  <si>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</si>
  <si>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</si>
  <si>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</si>
  <si>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</si>
  <si>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</si>
  <si>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</si>
  <si>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</si>
  <si>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</si>
  <si>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</si>
  <si>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</si>
  <si>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</si>
  <si>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</si>
  <si>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</si>
  <si>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</si>
  <si>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</si>
  <si>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</si>
  <si>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</si>
  <si>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</si>
  <si>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</si>
  <si>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</si>
  <si>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</si>
  <si>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</si>
  <si>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</si>
  <si>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</si>
  <si>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</si>
  <si>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</si>
  <si>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</si>
  <si>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</si>
  <si>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</si>
  <si>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</si>
  <si>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</si>
  <si>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</si>
  <si>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</si>
  <si>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</si>
  <si>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</si>
  <si>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</si>
  <si>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</si>
  <si>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</si>
  <si>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</si>
  <si>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</si>
  <si>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</si>
  <si>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</si>
  <si>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</si>
  <si>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</si>
  <si>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</si>
  <si>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</si>
  <si>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</si>
  <si>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</si>
  <si>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</si>
  <si>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</si>
  <si>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</si>
  <si>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</si>
  <si>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</si>
  <si>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</si>
  <si>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</si>
  <si>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</si>
  <si>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</si>
  <si>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</si>
  <si>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</si>
  <si>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</si>
  <si>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</si>
  <si>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</si>
  <si>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</si>
  <si>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</si>
  <si>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</si>
  <si>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</si>
  <si>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</si>
  <si>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</si>
  <si>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</si>
  <si>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</si>
  <si>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</si>
  <si>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</si>
  <si>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</si>
  <si>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</si>
  <si>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</si>
  <si>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</si>
  <si>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</si>
  <si>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</si>
  <si>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</si>
  <si>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</si>
  <si>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</si>
  <si>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</si>
  <si>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</si>
  <si>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</si>
  <si>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</si>
  <si>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</si>
  <si>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</si>
  <si>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</si>
  <si>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</si>
  <si>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</si>
  <si>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</si>
  <si>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</si>
  <si>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</si>
  <si>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</si>
  <si>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</si>
  <si>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</si>
  <si>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</si>
  <si>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</si>
  <si>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</si>
  <si>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</si>
  <si>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</si>
  <si>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</si>
  <si>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</si>
  <si>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</si>
  <si>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</si>
  <si>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</si>
  <si>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</si>
  <si>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</si>
  <si>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</si>
  <si>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</si>
  <si>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</si>
  <si>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</si>
  <si>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</si>
  <si>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</si>
  <si>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</si>
  <si>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</si>
  <si>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</si>
  <si>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</si>
  <si>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</si>
  <si>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</si>
  <si>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</si>
  <si>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</si>
  <si>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</si>
  <si>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</si>
  <si>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</si>
  <si>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</si>
  <si>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</si>
  <si>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</si>
  <si>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</si>
  <si>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</si>
  <si>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</si>
  <si>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</si>
  <si>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</si>
  <si>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</si>
  <si>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</si>
  <si>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</si>
  <si>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</si>
  <si>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</si>
  <si>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</si>
  <si>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</si>
  <si>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</si>
  <si>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</si>
  <si>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</si>
  <si>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</si>
  <si>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</si>
  <si>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</si>
  <si>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</si>
  <si>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</si>
  <si>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</si>
  <si>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</si>
  <si>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</si>
  <si>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</si>
  <si>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</si>
  <si>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</si>
  <si>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</si>
  <si>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</si>
  <si>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</si>
  <si>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</si>
  <si>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</si>
  <si>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</si>
  <si>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</si>
  <si>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</si>
  <si>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</si>
  <si>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</si>
  <si>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</si>
  <si>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</si>
  <si>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</si>
  <si>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</si>
  <si>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</si>
  <si>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</si>
  <si>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</si>
  <si>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</si>
  <si>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</si>
  <si>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</si>
  <si>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</si>
  <si>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</si>
  <si>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</si>
  <si>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</si>
  <si>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</si>
  <si>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</si>
  <si>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</si>
  <si>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</si>
  <si>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</si>
  <si>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</si>
  <si>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</si>
  <si>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</si>
  <si>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</si>
  <si>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</si>
  <si>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</si>
  <si>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</si>
  <si>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</si>
  <si>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</si>
  <si>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</si>
  <si>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</si>
  <si>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</si>
  <si>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</si>
  <si>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</si>
  <si>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</si>
  <si>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</si>
  <si>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</si>
  <si>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</si>
  <si>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</si>
  <si>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</si>
  <si>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</si>
  <si>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</si>
  <si>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</si>
  <si>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</si>
  <si>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</si>
  <si>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</si>
  <si>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</si>
  <si>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</si>
  <si>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</si>
  <si>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</si>
  <si>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</si>
  <si>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</si>
  <si>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</si>
  <si>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</si>
  <si>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</si>
  <si>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</si>
  <si>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</si>
  <si>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</si>
  <si>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</si>
  <si>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</si>
  <si>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</si>
  <si>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</si>
  <si>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</si>
  <si>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</si>
  <si>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</si>
  <si>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</si>
  <si>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</si>
  <si>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</si>
  <si>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</si>
  <si>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</si>
  <si>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</si>
  <si>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</si>
  <si>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</si>
  <si>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</si>
  <si>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</si>
  <si>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</si>
  <si>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</si>
  <si>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</si>
  <si>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</si>
  <si>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</si>
  <si>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</si>
  <si>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</si>
  <si>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</si>
  <si>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</si>
  <si>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</si>
  <si>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</si>
  <si>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</si>
  <si>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</si>
  <si>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</si>
  <si>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</si>
  <si>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</si>
  <si>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</si>
  <si>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</si>
  <si>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</si>
  <si>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</si>
  <si>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</si>
  <si>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</si>
  <si>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</si>
  <si>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</si>
  <si>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</si>
  <si>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</si>
  <si>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</si>
  <si>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</si>
  <si>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</si>
  <si>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</si>
  <si>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</si>
  <si>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</si>
  <si>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</si>
  <si>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</si>
  <si>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</si>
  <si>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</si>
  <si>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</si>
  <si>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</si>
  <si>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</si>
  <si>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</si>
  <si>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</si>
  <si>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</si>
  <si>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</si>
  <si>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</si>
  <si>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</si>
  <si>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</si>
  <si>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</si>
  <si>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</si>
  <si>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</si>
  <si>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</si>
  <si>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</si>
  <si>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</si>
  <si>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</si>
  <si>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</si>
  <si>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</si>
  <si>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</si>
  <si>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</si>
  <si>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</si>
  <si>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</si>
  <si>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</si>
  <si>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</si>
  <si>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</si>
  <si>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</si>
  <si>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</si>
  <si>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</si>
  <si>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</si>
  <si>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</si>
  <si>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</si>
  <si>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</si>
  <si>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</si>
  <si>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</si>
  <si>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</si>
  <si>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</si>
  <si>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</si>
  <si>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</si>
  <si>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</si>
  <si>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</si>
  <si>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</si>
  <si>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</si>
  <si>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</si>
  <si>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</si>
  <si>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</si>
  <si>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</si>
  <si>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</si>
  <si>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</si>
  <si>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</si>
  <si>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</si>
  <si>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</si>
  <si>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</si>
  <si>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</si>
  <si>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</si>
  <si>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</si>
  <si>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</si>
  <si>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</si>
  <si>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</si>
  <si>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</si>
  <si>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</si>
  <si>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</si>
  <si>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</si>
  <si>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</si>
  <si>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</si>
  <si>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</si>
  <si>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</si>
  <si>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</si>
  <si>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</si>
  <si>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</si>
  <si>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</si>
  <si>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</si>
  <si>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</si>
  <si>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</si>
  <si>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</si>
  <si>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</si>
  <si>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</si>
  <si>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</si>
  <si>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</si>
  <si>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</si>
  <si>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</si>
  <si>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</si>
  <si>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</si>
  <si>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</si>
  <si>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</si>
  <si>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</si>
  <si>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</si>
  <si>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</si>
  <si>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</si>
  <si>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</si>
  <si>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</si>
  <si>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</si>
  <si>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</si>
  <si>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</si>
  <si>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</si>
  <si>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</si>
  <si>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</si>
  <si>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</si>
  <si>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</si>
  <si>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</si>
  <si>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</si>
  <si>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</si>
  <si>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</si>
  <si>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</si>
  <si>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</si>
  <si>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</si>
  <si>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</si>
  <si>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</si>
  <si>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</si>
  <si>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</si>
  <si>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</si>
  <si>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</si>
  <si>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</si>
  <si>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</si>
  <si>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</si>
  <si>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</si>
  <si>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</si>
  <si>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</si>
  <si>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</si>
  <si>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</si>
  <si>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</si>
  <si>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</si>
  <si>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</si>
  <si>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</si>
  <si>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</si>
  <si>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</si>
  <si>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</si>
  <si>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</si>
  <si>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</si>
  <si>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</si>
  <si>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</si>
  <si>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</si>
  <si>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</si>
  <si>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</si>
  <si>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</si>
  <si>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</si>
  <si>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</si>
  <si>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</si>
  <si>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</si>
  <si>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</si>
  <si>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</si>
  <si>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</si>
  <si>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</si>
  <si>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</si>
  <si>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</si>
  <si>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</si>
  <si>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</si>
  <si>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</si>
  <si>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</si>
  <si>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</si>
  <si>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</si>
  <si>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</si>
  <si>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</si>
  <si>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</si>
  <si>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</si>
  <si>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</si>
  <si>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</si>
  <si>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</si>
  <si>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</si>
  <si>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</si>
  <si>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</si>
  <si>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</si>
  <si>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</si>
  <si>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</si>
  <si>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</si>
  <si>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</si>
  <si>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</si>
  <si>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</si>
  <si>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</si>
  <si>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</si>
  <si>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</si>
  <si>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</si>
  <si>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</si>
  <si>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</si>
  <si>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</si>
  <si>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</si>
  <si>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</si>
  <si>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</si>
  <si>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</si>
  <si>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</si>
  <si>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</si>
  <si>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</si>
  <si>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</si>
  <si>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</si>
  <si>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</si>
  <si>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</si>
  <si>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</si>
  <si>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</si>
  <si>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</si>
  <si>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</si>
  <si>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</si>
  <si>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</si>
  <si>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</si>
  <si>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</si>
  <si>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</si>
  <si>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</si>
  <si>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</si>
  <si>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</si>
  <si>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</si>
  <si>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</si>
  <si>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</si>
  <si>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</si>
  <si>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</si>
  <si>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</si>
  <si>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</si>
  <si>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</si>
  <si>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</si>
  <si>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</si>
  <si>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</si>
  <si>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</si>
  <si>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</si>
  <si>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</si>
  <si>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</si>
  <si>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</si>
  <si>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</si>
  <si>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</si>
  <si>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</si>
  <si>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</si>
  <si>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</si>
  <si>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</si>
  <si>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</si>
  <si>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</si>
  <si>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</si>
  <si>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</si>
  <si>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</si>
  <si>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</si>
  <si>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</si>
  <si>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</si>
  <si>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</si>
  <si>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</si>
  <si>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</si>
  <si>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</si>
  <si>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</si>
  <si>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</si>
  <si>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</si>
  <si>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</si>
  <si>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</si>
  <si>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</si>
  <si>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</si>
  <si>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</si>
  <si>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</si>
  <si>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</si>
  <si>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</si>
  <si>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</si>
  <si>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</si>
  <si>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</si>
  <si>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</si>
  <si>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</si>
  <si>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</si>
  <si>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</si>
  <si>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</si>
  <si>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</si>
  <si>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</si>
  <si>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</si>
  <si>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</si>
  <si>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</si>
  <si>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</si>
  <si>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</si>
  <si>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</si>
  <si>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</si>
  <si>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</si>
  <si>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</si>
  <si>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</si>
  <si>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</si>
  <si>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</si>
  <si>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</si>
  <si>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</si>
  <si>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</si>
  <si>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</si>
  <si>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</si>
  <si>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</si>
  <si>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</si>
  <si>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</si>
  <si>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</si>
  <si>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</si>
  <si>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</si>
  <si>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</si>
  <si>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</si>
  <si>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</si>
  <si>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</si>
  <si>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</si>
  <si>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</si>
  <si>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</si>
  <si>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</si>
  <si>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</si>
  <si>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</si>
  <si>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</si>
  <si>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</si>
  <si>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</si>
  <si>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</si>
  <si>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</si>
  <si>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</si>
  <si>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</si>
  <si>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</si>
  <si>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</si>
  <si>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</si>
  <si>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</si>
  <si>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</si>
  <si>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</si>
  <si>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</si>
  <si>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</si>
  <si>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</si>
  <si>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</si>
  <si>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</si>
  <si>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</si>
  <si>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</si>
  <si>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</si>
  <si>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</si>
  <si>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</si>
  <si>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</si>
  <si>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</si>
  <si>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</si>
  <si>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</si>
  <si>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</si>
  <si>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</si>
  <si>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</si>
  <si>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</si>
  <si>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</si>
  <si>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</si>
  <si>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</si>
  <si>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</si>
  <si>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</si>
  <si>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</si>
  <si>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</si>
  <si>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</si>
  <si>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</si>
  <si>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</si>
  <si>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</si>
  <si>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</si>
  <si>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</si>
  <si>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</si>
  <si>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</si>
  <si>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</si>
  <si>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</si>
  <si>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</si>
  <si>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</si>
  <si>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</si>
  <si>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</si>
  <si>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</si>
  <si>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</si>
  <si>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</si>
  <si>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</si>
  <si>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</si>
  <si>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</si>
  <si>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</si>
  <si>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</si>
  <si>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</si>
  <si>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</si>
  <si>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</si>
  <si>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</si>
  <si>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</si>
  <si>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</si>
  <si>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</si>
  <si>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</si>
  <si>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</si>
  <si>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</si>
  <si>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</si>
  <si>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</si>
  <si>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</si>
  <si>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</si>
  <si>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</si>
  <si>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</si>
  <si>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</si>
  <si>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</si>
  <si>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</si>
  <si>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</si>
  <si>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</si>
  <si>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</si>
  <si>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</si>
  <si>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</si>
  <si>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</si>
  <si>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</si>
  <si>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</si>
  <si>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</si>
  <si>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</si>
  <si>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</si>
  <si>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</si>
  <si>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</si>
  <si>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</si>
  <si>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</si>
  <si>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</si>
  <si>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</si>
  <si>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</si>
  <si>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</si>
  <si>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</si>
  <si>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</si>
  <si>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</si>
  <si>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</si>
  <si>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</si>
  <si>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</si>
  <si>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</si>
  <si>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</si>
  <si>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</si>
  <si>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</si>
  <si>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</si>
  <si>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</si>
  <si>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</si>
  <si>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</si>
  <si>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</si>
  <si>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</si>
  <si>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</si>
  <si>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</si>
  <si>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</si>
  <si>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</si>
  <si>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</si>
  <si>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</si>
  <si>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</si>
  <si>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</si>
  <si>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</si>
  <si>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</si>
  <si>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</si>
  <si>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</si>
  <si>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</si>
  <si>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</si>
  <si>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</si>
  <si>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</si>
  <si>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</si>
  <si>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</si>
  <si>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</si>
  <si>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</si>
  <si>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</si>
  <si>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</si>
  <si>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</si>
  <si>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</si>
  <si>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</si>
  <si>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</si>
  <si>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</si>
  <si>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</si>
  <si>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</si>
  <si>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</si>
  <si>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</si>
  <si>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</si>
  <si>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</si>
  <si>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</si>
  <si>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</si>
  <si>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</si>
  <si>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</si>
  <si>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</si>
  <si>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</si>
  <si>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</si>
  <si>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</si>
  <si>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</si>
  <si>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</si>
  <si>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</si>
  <si>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</si>
  <si>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</si>
  <si>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</si>
  <si>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</si>
  <si>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</si>
  <si>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</si>
  <si>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</si>
  <si>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</si>
  <si>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</si>
  <si>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</si>
  <si>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</si>
  <si>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</si>
  <si>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</si>
  <si>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</si>
  <si>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</si>
  <si>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</si>
  <si>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</si>
  <si>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</si>
  <si>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</si>
  <si>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</si>
  <si>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</si>
  <si>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</si>
  <si>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</si>
  <si>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</si>
  <si>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</si>
  <si>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</si>
  <si>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</si>
  <si>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</si>
  <si>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</si>
  <si>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</si>
  <si>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</si>
  <si>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</si>
  <si>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</si>
  <si>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</si>
  <si>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</si>
  <si>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</si>
  <si>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</si>
  <si>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</si>
  <si>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</si>
  <si>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</si>
  <si>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</si>
  <si>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</si>
  <si>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</si>
  <si>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</si>
  <si>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</si>
  <si>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</si>
  <si>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</si>
  <si>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</si>
  <si>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</si>
  <si>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</si>
  <si>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</si>
  <si>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</si>
  <si>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</si>
  <si>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</si>
  <si>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</si>
  <si>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</si>
  <si>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</si>
  <si>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</si>
  <si>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</si>
  <si>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</si>
  <si>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</si>
  <si>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</si>
  <si>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</si>
  <si>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</si>
  <si>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</si>
  <si>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</si>
  <si>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</si>
  <si>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</si>
  <si>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</si>
  <si>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</si>
  <si>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</si>
  <si>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</si>
  <si>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</si>
  <si>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</si>
  <si>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</si>
  <si>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</si>
  <si>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</si>
  <si>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</si>
  <si>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</si>
  <si>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</si>
  <si>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</si>
  <si>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</si>
  <si>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</si>
  <si>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</si>
  <si>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</si>
  <si>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</si>
  <si>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</si>
  <si>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</si>
  <si>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</si>
  <si>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</si>
  <si>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</si>
  <si>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</si>
  <si>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</si>
  <si>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</si>
  <si>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</si>
  <si>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</si>
  <si>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</si>
  <si>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</si>
  <si>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</si>
  <si>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</si>
  <si>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</si>
  <si>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</si>
  <si>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</si>
  <si>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</si>
  <si>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</si>
  <si>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</si>
  <si>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</si>
  <si>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</si>
  <si>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</si>
  <si>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</si>
  <si>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</si>
  <si>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</si>
  <si>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</si>
  <si>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</si>
  <si>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</si>
  <si>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</si>
  <si>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</si>
  <si>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</si>
  <si>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</si>
  <si>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</si>
  <si>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</si>
  <si>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</si>
  <si>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</si>
  <si>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</si>
  <si>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</si>
  <si>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</si>
  <si>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</si>
  <si>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</si>
  <si>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</si>
  <si>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</si>
  <si>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</si>
  <si>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</si>
  <si>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</si>
  <si>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</si>
  <si>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</si>
  <si>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</si>
  <si>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</si>
  <si>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</si>
  <si>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</si>
  <si>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</si>
  <si>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</si>
  <si>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</si>
  <si>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</si>
  <si>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</si>
  <si>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</si>
  <si>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</si>
  <si>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</si>
  <si>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</si>
  <si>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</si>
  <si>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</si>
  <si>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</si>
  <si>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</si>
  <si>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</si>
  <si>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</si>
  <si>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</si>
  <si>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</si>
  <si>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</si>
  <si>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</si>
  <si>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</si>
  <si>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</si>
  <si>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</si>
  <si>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</si>
  <si>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</si>
  <si>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</si>
  <si>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</si>
  <si>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</si>
  <si>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</si>
  <si>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</si>
  <si>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</si>
  <si>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</si>
  <si>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</si>
  <si>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</si>
  <si>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</si>
  <si>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</si>
  <si>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</si>
  <si>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</si>
  <si>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</si>
  <si>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</si>
  <si>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</si>
  <si>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</si>
  <si>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</si>
  <si>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</si>
  <si>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</si>
  <si>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</si>
  <si>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</si>
  <si>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</si>
  <si>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</si>
  <si>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</si>
  <si>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</si>
  <si>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</si>
  <si>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</si>
  <si>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</si>
  <si>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</si>
  <si>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</si>
  <si>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</si>
  <si>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</si>
  <si>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</si>
  <si>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</si>
  <si>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</si>
  <si>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</si>
  <si>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</si>
  <si>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</si>
  <si>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</si>
  <si>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</si>
  <si>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</si>
  <si>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</si>
  <si>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</si>
  <si>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</si>
  <si>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</si>
  <si>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</si>
  <si>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</si>
  <si>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</si>
  <si>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</si>
  <si>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</si>
  <si>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</si>
  <si>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</si>
  <si>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</si>
  <si>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</si>
  <si>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</si>
  <si>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</si>
  <si>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</si>
  <si>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</si>
  <si>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</si>
  <si>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</si>
  <si>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</si>
  <si>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</si>
  <si>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</si>
  <si>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</si>
  <si>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</si>
  <si>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</si>
  <si>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</si>
  <si>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</si>
  <si>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</si>
  <si>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</si>
  <si>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</si>
  <si>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</si>
  <si>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</si>
  <si>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</si>
  <si>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</si>
  <si>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</si>
  <si>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</si>
  <si>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</si>
  <si>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</si>
  <si>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</si>
  <si>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</si>
  <si>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</si>
  <si>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</si>
  <si>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</si>
  <si>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</si>
  <si>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</si>
  <si>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</si>
  <si>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</si>
  <si>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</si>
  <si>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</si>
  <si>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</si>
  <si>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</si>
  <si>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</si>
  <si>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</si>
  <si>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</si>
  <si>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</si>
  <si>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</si>
  <si>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</si>
  <si>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</si>
  <si>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</si>
  <si>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</si>
  <si>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</si>
  <si>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</si>
  <si>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</si>
  <si>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</si>
  <si>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</si>
  <si>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</si>
  <si>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</si>
  <si>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</si>
  <si>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</si>
  <si>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</si>
  <si>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</si>
  <si>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</si>
  <si>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</si>
  <si>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</si>
  <si>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</si>
  <si>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</si>
  <si>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</si>
  <si>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</si>
  <si>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</si>
  <si>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</si>
  <si>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</si>
  <si>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</si>
  <si>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</si>
  <si>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</si>
  <si>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</si>
  <si>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</si>
  <si>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</si>
  <si>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</si>
  <si>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</si>
  <si>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</si>
  <si>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</si>
  <si>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</si>
  <si>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</si>
  <si>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</si>
  <si>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</si>
  <si>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</si>
  <si>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</si>
  <si>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</si>
  <si>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</si>
  <si>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</si>
  <si>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</si>
  <si>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</si>
  <si>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</si>
  <si>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</si>
  <si>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</si>
  <si>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</si>
  <si>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</si>
  <si>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</si>
  <si>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</si>
  <si>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</si>
  <si>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</si>
  <si>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</si>
  <si>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</si>
  <si>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</si>
  <si>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</si>
  <si>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</si>
  <si>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</si>
  <si>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</si>
  <si>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</si>
  <si>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</si>
  <si>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</si>
  <si>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</si>
  <si>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</si>
  <si>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</si>
  <si>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</si>
  <si>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</si>
  <si>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</si>
  <si>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</si>
  <si>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</si>
  <si>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</si>
  <si>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</si>
  <si>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</si>
  <si>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</si>
  <si>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</si>
  <si>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</si>
  <si>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</si>
  <si>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</si>
  <si>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</si>
  <si>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</si>
  <si>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</si>
  <si>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</si>
  <si>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</si>
  <si>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</si>
  <si>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</si>
  <si>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</si>
  <si>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</si>
  <si>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</si>
  <si>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</si>
  <si>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</si>
  <si>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</si>
  <si>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</si>
  <si>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</si>
  <si>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</si>
  <si>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</si>
  <si>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</si>
  <si>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</si>
  <si>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</si>
  <si>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</si>
  <si>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</si>
  <si>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</si>
  <si>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</si>
  <si>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</si>
  <si>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</si>
  <si>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</si>
  <si>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</si>
  <si>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</si>
  <si>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</si>
  <si>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</si>
  <si>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</si>
  <si>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</si>
  <si>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</si>
  <si>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</si>
  <si>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</si>
  <si>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</si>
  <si>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</si>
  <si>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</si>
  <si>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</si>
  <si>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</si>
  <si>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</si>
  <si>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</si>
  <si>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</si>
  <si>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</si>
  <si>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</si>
  <si>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</si>
  <si>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</si>
  <si>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</si>
  <si>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</si>
  <si>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</si>
  <si>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</si>
  <si>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</si>
  <si>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</si>
  <si>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</si>
  <si>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</si>
  <si>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</si>
  <si>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</si>
  <si>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</si>
  <si>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</si>
  <si>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</si>
  <si>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</si>
  <si>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</si>
  <si>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</si>
  <si>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</si>
  <si>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</si>
  <si>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</si>
  <si>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</si>
  <si>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</si>
  <si>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</si>
  <si>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</si>
  <si>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</si>
  <si>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</si>
  <si>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</si>
  <si>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</si>
  <si>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</si>
  <si>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</si>
  <si>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</si>
  <si>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</si>
  <si>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</si>
  <si>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</si>
  <si>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</si>
  <si>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</si>
  <si>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</si>
  <si>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</si>
  <si>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</si>
  <si>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</si>
  <si>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</si>
  <si>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</si>
  <si>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</si>
  <si>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</si>
  <si>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</si>
  <si>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</si>
  <si>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</si>
  <si>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</si>
  <si>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</si>
  <si>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</si>
  <si>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</si>
  <si>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</si>
  <si>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</si>
  <si>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</si>
  <si>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</si>
  <si>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</si>
  <si>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</si>
  <si>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</si>
  <si>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</si>
  <si>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</si>
  <si>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</si>
  <si>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</si>
  <si>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</si>
  <si>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</si>
  <si>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</si>
  <si>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</si>
  <si>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</si>
  <si>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</si>
  <si>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</si>
  <si>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</si>
  <si>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</si>
  <si>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</si>
  <si>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</si>
  <si>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</si>
  <si>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</si>
  <si>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</si>
  <si>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</si>
  <si>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</si>
  <si>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</si>
  <si>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</si>
  <si>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</si>
  <si>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</si>
  <si>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</si>
  <si>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</si>
  <si>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</si>
  <si>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</si>
  <si>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</si>
  <si>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</si>
  <si>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</si>
  <si>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</si>
  <si>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</si>
  <si>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</si>
  <si>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</si>
  <si>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</si>
  <si>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</si>
  <si>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</si>
  <si>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</si>
  <si>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</si>
  <si>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</si>
  <si>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</si>
  <si>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</si>
  <si>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</si>
  <si>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</si>
  <si>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</si>
  <si>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</si>
  <si>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</si>
  <si>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</si>
  <si>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</si>
  <si>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</si>
  <si>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</si>
  <si>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</si>
  <si>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</si>
  <si>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</si>
  <si>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</si>
  <si>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</si>
  <si>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</si>
  <si>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</si>
  <si>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</si>
  <si>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</si>
  <si>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</si>
  <si>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</si>
  <si>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</si>
  <si>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</si>
  <si>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</si>
  <si>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</si>
  <si>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</si>
  <si>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</si>
  <si>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</si>
  <si>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</si>
  <si>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</si>
  <si>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</si>
  <si>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</si>
  <si>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</si>
  <si>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</si>
  <si>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</si>
  <si>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</si>
  <si>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</si>
  <si>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</si>
  <si>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</si>
  <si>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</si>
  <si>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</si>
  <si>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</si>
  <si>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</si>
  <si>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</si>
  <si>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</si>
  <si>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</si>
  <si>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</si>
  <si>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</si>
  <si>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</si>
  <si>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</si>
  <si>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</si>
  <si>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</si>
  <si>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</si>
  <si>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</si>
  <si>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</si>
  <si>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</si>
  <si>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</si>
  <si>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</si>
  <si>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</si>
  <si>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</si>
  <si>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</si>
  <si>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</si>
  <si>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</si>
  <si>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</si>
  <si>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</si>
  <si>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</si>
  <si>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</si>
  <si>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</si>
  <si>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</si>
  <si>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</si>
  <si>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</si>
  <si>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</si>
  <si>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</si>
  <si>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</si>
  <si>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</si>
  <si>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</si>
  <si>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</si>
  <si>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</si>
  <si>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</si>
  <si>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</si>
  <si>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</si>
  <si>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</si>
  <si>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</si>
  <si>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</si>
  <si>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</si>
  <si>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</si>
  <si>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</si>
  <si>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</si>
  <si>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</si>
  <si>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</si>
  <si>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</si>
  <si>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</si>
  <si>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</si>
  <si>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</si>
  <si>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</si>
  <si>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</si>
  <si>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</si>
  <si>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</si>
  <si>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</si>
  <si>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</si>
  <si>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</si>
  <si>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</si>
  <si>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</si>
  <si>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</si>
  <si>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</si>
  <si>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</si>
  <si>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</si>
  <si>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</si>
  <si>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</si>
  <si>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</si>
  <si>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</si>
  <si>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</si>
  <si>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</si>
  <si>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</si>
  <si>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</si>
  <si>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</si>
  <si>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</si>
  <si>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</si>
  <si>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</si>
  <si>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</si>
  <si>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</si>
  <si>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</si>
  <si>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</si>
  <si>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</si>
  <si>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</si>
  <si>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</si>
  <si>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</si>
  <si>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</si>
  <si>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</si>
  <si>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</si>
  <si>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</si>
  <si>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</si>
  <si>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</si>
  <si>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</si>
  <si>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</si>
  <si>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</si>
  <si>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</si>
  <si>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</si>
  <si>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</si>
  <si>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</si>
  <si>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</si>
  <si>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</si>
  <si>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</si>
  <si>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</si>
  <si>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</si>
  <si>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</si>
  <si>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</si>
  <si>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</si>
  <si>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</si>
  <si>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</si>
  <si>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</si>
  <si>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</si>
  <si>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</si>
  <si>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</si>
  <si>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</si>
  <si>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</si>
  <si>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</si>
  <si>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</si>
  <si>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</si>
  <si>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</si>
  <si>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</si>
  <si>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</si>
  <si>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</si>
  <si>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</si>
  <si>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</si>
  <si>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</si>
  <si>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</si>
  <si>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</si>
  <si>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</si>
  <si>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</si>
  <si>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</si>
  <si>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</si>
  <si>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</si>
  <si>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</si>
  <si>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</si>
  <si>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</si>
  <si>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</si>
  <si>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</si>
  <si>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</si>
  <si>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</si>
  <si>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</si>
  <si>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</si>
  <si>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</si>
  <si>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</si>
  <si>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</si>
  <si>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</si>
  <si>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</si>
  <si>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</si>
  <si>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</si>
  <si>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</si>
  <si>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</si>
  <si>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</si>
  <si>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</si>
  <si>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</si>
  <si>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</si>
  <si>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</si>
  <si>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</si>
  <si>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</si>
  <si>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</si>
  <si>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</si>
  <si>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</si>
  <si>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</si>
  <si>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</si>
  <si>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</si>
  <si>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</si>
  <si>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</si>
  <si>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</si>
  <si>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</si>
  <si>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</si>
  <si>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</si>
  <si>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</si>
  <si>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</si>
  <si>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</si>
  <si>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</si>
  <si>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</si>
  <si>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</si>
  <si>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</si>
  <si>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</si>
  <si>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</si>
  <si>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</si>
  <si>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</si>
  <si>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</si>
  <si>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</si>
  <si>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</si>
  <si>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</si>
  <si>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</si>
  <si>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</si>
  <si>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</si>
  <si>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</si>
  <si>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</si>
  <si>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</si>
  <si>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</si>
  <si>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</si>
  <si>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</si>
  <si>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</si>
  <si>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</si>
  <si>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</si>
  <si>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</si>
  <si>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</si>
  <si>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</si>
  <si>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</si>
  <si>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</si>
  <si>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</si>
  <si>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</si>
  <si>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</si>
  <si>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</si>
  <si>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</si>
  <si>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</si>
  <si>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</si>
  <si>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</si>
  <si>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</si>
  <si>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</si>
  <si>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</si>
  <si>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</si>
  <si>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</si>
  <si>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</si>
  <si>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</si>
  <si>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</si>
  <si>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</si>
  <si>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</si>
  <si>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</si>
  <si>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</si>
  <si>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</si>
  <si>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</si>
  <si>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</si>
  <si>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</si>
  <si>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</si>
  <si>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</si>
  <si>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</si>
  <si>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</si>
  <si>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</si>
  <si>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</si>
  <si>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</si>
  <si>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</si>
  <si>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</si>
  <si>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</si>
  <si>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</si>
  <si>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</si>
  <si>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</si>
  <si>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</si>
  <si>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</si>
  <si>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</si>
  <si>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</si>
  <si>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</si>
  <si>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</si>
  <si>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</si>
  <si>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</si>
  <si>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</si>
  <si>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</si>
  <si>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</si>
  <si>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</si>
  <si>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</si>
  <si>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</si>
  <si>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</si>
  <si>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</si>
  <si>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</si>
  <si>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</si>
  <si>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</si>
  <si>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</si>
  <si>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</si>
  <si>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</si>
  <si>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</si>
  <si>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</si>
  <si>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</si>
  <si>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</si>
  <si>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</si>
  <si>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</si>
  <si>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</si>
  <si>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</si>
  <si>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</si>
  <si>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</si>
  <si>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</si>
  <si>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</si>
  <si>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</si>
  <si>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</si>
  <si>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</si>
  <si>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</si>
  <si>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</si>
  <si>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</si>
  <si>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</si>
  <si>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</si>
  <si>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</si>
  <si>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</si>
  <si>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</si>
  <si>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</si>
  <si>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</si>
  <si>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</si>
  <si>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</si>
  <si>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</si>
  <si>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</si>
  <si>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</si>
  <si>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</si>
  <si>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</si>
  <si>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</si>
  <si>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</si>
  <si>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</si>
  <si>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</si>
  <si>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</si>
  <si>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</si>
  <si>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</si>
  <si>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</si>
  <si>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</si>
  <si>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</si>
  <si>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</si>
  <si>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</si>
  <si>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</si>
  <si>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</si>
  <si>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</si>
  <si>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</si>
  <si>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</si>
  <si>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</si>
  <si>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</si>
  <si>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</si>
  <si>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</si>
  <si>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</si>
  <si>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</si>
  <si>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</si>
  <si>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</si>
  <si>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</si>
  <si>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</si>
  <si>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</si>
  <si>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</si>
  <si>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</si>
  <si>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</si>
  <si>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</si>
  <si>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</si>
  <si>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</si>
  <si>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</si>
  <si>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</si>
  <si>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</si>
  <si>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</si>
  <si>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</si>
  <si>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</si>
  <si>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</si>
  <si>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</si>
  <si>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</si>
  <si>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</si>
  <si>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</si>
  <si>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</si>
  <si>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</si>
  <si>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</si>
  <si>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</si>
  <si>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</si>
  <si>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</si>
  <si>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</si>
  <si>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</si>
  <si>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</si>
  <si>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</si>
  <si>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</si>
  <si>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</si>
  <si>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</si>
  <si>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</si>
  <si>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</si>
  <si>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</si>
  <si>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</si>
  <si>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</si>
  <si>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</si>
  <si>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</si>
  <si>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</si>
  <si>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</si>
  <si>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</si>
  <si>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</si>
  <si>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</si>
  <si>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</si>
  <si>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</si>
  <si>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</si>
  <si>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</si>
  <si>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</si>
  <si>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</si>
  <si>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</si>
  <si>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</si>
  <si>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</si>
  <si>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</si>
  <si>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</si>
  <si>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</si>
  <si>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</si>
  <si>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</si>
  <si>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</si>
  <si>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</si>
  <si>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</si>
  <si>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</si>
  <si>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</si>
  <si>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</si>
  <si>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</si>
  <si>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</si>
  <si>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</si>
  <si>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</si>
  <si>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</si>
  <si>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</si>
  <si>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</si>
  <si>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</si>
  <si>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</si>
  <si>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</si>
  <si>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</si>
  <si>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</si>
  <si>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</si>
  <si>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</si>
  <si>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</si>
  <si>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</si>
  <si>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</si>
  <si>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</si>
  <si>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</si>
  <si>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</si>
  <si>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</si>
  <si>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</si>
  <si>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</si>
  <si>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</si>
  <si>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</si>
  <si>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</si>
  <si>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</si>
  <si>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</si>
  <si>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</si>
  <si>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</si>
  <si>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</si>
  <si>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</si>
  <si>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</si>
  <si>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</si>
  <si>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</si>
  <si>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</si>
  <si>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</si>
  <si>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</si>
  <si>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</si>
  <si>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</si>
  <si>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</si>
  <si>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</si>
  <si>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</si>
  <si>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</si>
  <si>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</si>
  <si>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</si>
  <si>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</si>
  <si>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</si>
  <si>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</si>
  <si>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</si>
  <si>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</si>
  <si>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</si>
  <si>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</si>
  <si>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</si>
  <si>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</si>
  <si>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</si>
  <si>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</si>
  <si>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</si>
  <si>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</si>
  <si>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</si>
  <si>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</si>
  <si>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</si>
  <si>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</si>
  <si>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</si>
  <si>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</si>
  <si>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</si>
  <si>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</si>
  <si>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</si>
  <si>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</si>
  <si>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</si>
  <si>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</si>
  <si>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</si>
  <si>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</si>
  <si>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</si>
  <si>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</si>
  <si>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</si>
  <si>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</si>
  <si>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</si>
  <si>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</si>
  <si>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</si>
  <si>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</si>
  <si>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</si>
  <si>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</si>
  <si>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</si>
  <si>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</si>
  <si>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</si>
  <si>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</si>
  <si>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</si>
  <si>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</si>
  <si>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</si>
  <si>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</si>
  <si>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</si>
  <si>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</si>
  <si>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</si>
  <si>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</si>
  <si>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</si>
  <si>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</si>
  <si>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</si>
  <si>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</si>
  <si>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</si>
  <si>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</si>
  <si>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</si>
  <si>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</si>
  <si>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</si>
  <si>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</si>
  <si>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</si>
  <si>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</si>
  <si>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</si>
  <si>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</si>
  <si>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</si>
  <si>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</si>
  <si>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</si>
  <si>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</si>
  <si>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</si>
  <si>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</si>
  <si>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</si>
  <si>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</si>
  <si>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</si>
  <si>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</si>
  <si>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</si>
  <si>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</si>
  <si>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</si>
  <si>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</si>
  <si>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</si>
  <si>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</si>
  <si>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</si>
  <si>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</si>
  <si>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</si>
  <si>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</si>
  <si>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</si>
  <si>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</si>
  <si>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</si>
  <si>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</si>
  <si>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</si>
  <si>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</si>
  <si>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</si>
  <si>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</si>
  <si>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</si>
  <si>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</si>
  <si>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</si>
  <si>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</si>
  <si>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</si>
  <si>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</si>
  <si>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</si>
  <si>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</si>
  <si>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</si>
  <si>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</si>
  <si>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</si>
  <si>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</si>
  <si>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</si>
  <si>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</si>
  <si>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</si>
  <si>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</si>
  <si>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</si>
  <si>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</si>
  <si>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</si>
  <si>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</si>
  <si>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</si>
  <si>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</si>
  <si>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</si>
  <si>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</si>
  <si>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</si>
  <si>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</si>
  <si>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</si>
  <si>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</si>
  <si>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</si>
  <si>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</si>
  <si>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</si>
  <si>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</si>
  <si>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</si>
  <si>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</si>
  <si>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</si>
  <si>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</si>
  <si>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</si>
  <si>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</si>
  <si>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</si>
  <si>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</si>
  <si>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</si>
  <si>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</si>
  <si>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</si>
  <si>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</si>
  <si>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</si>
  <si>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</si>
  <si>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</si>
  <si>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</si>
  <si>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</si>
  <si>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</si>
  <si>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</si>
  <si>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</si>
  <si>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</si>
  <si>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</si>
  <si>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</si>
  <si>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</si>
  <si>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</si>
  <si>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</si>
  <si>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</si>
  <si>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</si>
  <si>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</si>
  <si>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</si>
  <si>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</si>
  <si>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</si>
  <si>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</si>
  <si>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</si>
  <si>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</si>
  <si>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</si>
  <si>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</si>
  <si>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</si>
  <si>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</si>
  <si>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</si>
  <si>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</si>
  <si>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</si>
  <si>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</si>
  <si>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</si>
  <si>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</si>
  <si>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</si>
  <si>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</si>
  <si>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</si>
  <si>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</si>
  <si>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</si>
  <si>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</si>
  <si>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</si>
  <si>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</si>
  <si>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</si>
  <si>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</si>
  <si>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</si>
  <si>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</si>
  <si>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</si>
  <si>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</si>
  <si>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</si>
  <si>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</si>
  <si>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</si>
  <si>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</si>
  <si>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</si>
  <si>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</si>
  <si>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</si>
  <si>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</si>
  <si>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</si>
  <si>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</si>
  <si>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</si>
  <si>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</si>
  <si>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</si>
  <si>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</si>
  <si>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</si>
  <si>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</si>
  <si>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</si>
  <si>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</si>
  <si>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</si>
  <si>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</si>
  <si>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</si>
  <si>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</si>
  <si>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</si>
  <si>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</si>
  <si>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</si>
  <si>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</si>
  <si>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</si>
  <si>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</si>
  <si>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</si>
  <si>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</si>
  <si>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</si>
  <si>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</si>
  <si>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</si>
  <si>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</si>
  <si>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</si>
  <si>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</si>
  <si>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</si>
  <si>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</si>
  <si>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</si>
  <si>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</si>
  <si>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</si>
  <si>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</si>
  <si>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</si>
  <si>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</si>
  <si>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</si>
  <si>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</si>
  <si>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</si>
  <si>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</si>
  <si>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</si>
  <si>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</si>
  <si>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</si>
  <si>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</si>
  <si>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</si>
  <si>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</si>
  <si>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</si>
  <si>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</si>
  <si>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</si>
  <si>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</si>
  <si>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</si>
  <si>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</si>
  <si>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</si>
  <si>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</si>
  <si>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</si>
  <si>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</si>
  <si>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</si>
  <si>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</si>
  <si>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</si>
  <si>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</si>
  <si>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</si>
  <si>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</si>
  <si>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</si>
  <si>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</si>
  <si>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</si>
  <si>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</si>
  <si>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</si>
  <si>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</si>
  <si>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</si>
  <si>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</si>
  <si>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</si>
  <si>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</si>
  <si>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</si>
  <si>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</si>
  <si>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</si>
  <si>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</si>
  <si>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</si>
  <si>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</si>
  <si>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</si>
  <si>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</si>
  <si>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</si>
  <si>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</si>
  <si>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</si>
  <si>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</si>
  <si>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</si>
  <si>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</si>
  <si>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</si>
  <si>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</si>
  <si>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</si>
  <si>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</si>
  <si>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</si>
  <si>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</si>
  <si>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</si>
  <si>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</si>
  <si>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</si>
  <si>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</si>
  <si>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</si>
  <si>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</si>
  <si>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</si>
  <si>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</si>
  <si>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</si>
  <si>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</si>
  <si>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</si>
  <si>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</si>
  <si>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</si>
  <si>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</si>
  <si>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</si>
  <si>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</si>
  <si>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</si>
  <si>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</si>
  <si>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</si>
  <si>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</si>
  <si>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</si>
  <si>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</si>
  <si>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</si>
  <si>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</si>
  <si>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</si>
  <si>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</si>
  <si>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</si>
  <si>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</si>
  <si>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</si>
  <si>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</si>
  <si>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</si>
  <si>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</si>
  <si>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</si>
  <si>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</si>
  <si>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</si>
  <si>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</si>
  <si>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</si>
  <si>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</si>
  <si>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</si>
  <si>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</si>
  <si>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</si>
  <si>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</si>
  <si>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</si>
  <si>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</si>
  <si>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</si>
  <si>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</si>
  <si>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</si>
  <si>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</si>
  <si>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</si>
  <si>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</si>
  <si>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</si>
  <si>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</si>
  <si>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</si>
  <si>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</si>
  <si>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</si>
  <si>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</si>
  <si>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</si>
  <si>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</si>
  <si>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</si>
  <si>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</si>
  <si>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</si>
  <si>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</si>
  <si>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</si>
  <si>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</si>
  <si>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</si>
  <si>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</si>
  <si>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</si>
  <si>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</si>
  <si>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</si>
  <si>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</si>
  <si>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</si>
  <si>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</si>
  <si>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</si>
  <si>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</si>
  <si>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</si>
  <si>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</si>
  <si>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</si>
  <si>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</si>
  <si>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</si>
  <si>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</si>
  <si>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</si>
  <si>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</si>
  <si>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</si>
  <si>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</si>
  <si>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</si>
  <si>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</si>
  <si>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</si>
  <si>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</si>
  <si>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</si>
  <si>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</si>
  <si>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</si>
  <si>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</si>
  <si>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</si>
  <si>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</si>
  <si>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</si>
  <si>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</si>
  <si>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</si>
  <si>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</si>
  <si>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</si>
  <si>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</si>
  <si>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</si>
  <si>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</si>
  <si>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</si>
  <si>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</si>
  <si>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</si>
  <si>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</si>
  <si>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</si>
  <si>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</si>
  <si>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</si>
  <si>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</si>
  <si>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</si>
  <si>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</si>
  <si>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</si>
  <si>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</si>
  <si>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</si>
  <si>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</si>
  <si>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</si>
  <si>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</si>
  <si>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</si>
  <si>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</si>
  <si>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</si>
  <si>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</si>
  <si>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</si>
  <si>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</si>
  <si>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</si>
  <si>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</si>
  <si>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</si>
  <si>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</si>
  <si>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</si>
  <si>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</si>
  <si>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</si>
  <si>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</si>
  <si>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</si>
  <si>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</si>
  <si>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</si>
  <si>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</si>
  <si>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</si>
  <si>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</si>
  <si>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</si>
  <si>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</si>
  <si>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</si>
  <si>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</si>
  <si>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</si>
  <si>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</si>
  <si>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</si>
  <si>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</si>
  <si>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</si>
  <si>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</si>
  <si>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</si>
  <si>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</si>
  <si>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</si>
  <si>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</si>
  <si>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</si>
  <si>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</si>
  <si>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</si>
  <si>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</si>
  <si>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</si>
  <si>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</si>
  <si>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</si>
  <si>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</si>
  <si>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</si>
  <si>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</si>
  <si>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</si>
  <si>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</si>
  <si>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</si>
  <si>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</si>
  <si>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</si>
  <si>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</si>
  <si>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</si>
  <si>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</si>
  <si>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</si>
  <si>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</si>
  <si>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</si>
  <si>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</si>
  <si>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</si>
  <si>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</si>
  <si>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</si>
  <si>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</si>
  <si>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</si>
  <si>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</si>
  <si>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</si>
  <si>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</si>
  <si>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</si>
  <si>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</si>
  <si>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</si>
  <si>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</si>
  <si>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</si>
  <si>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</si>
  <si>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</si>
  <si>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</si>
  <si>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</si>
  <si>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</si>
  <si>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</si>
  <si>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</si>
  <si>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</si>
  <si>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</si>
  <si>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</si>
  <si>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</si>
  <si>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</si>
  <si>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</si>
  <si>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</si>
  <si>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</si>
  <si>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</si>
  <si>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</si>
  <si>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</si>
  <si>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</si>
  <si>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</si>
  <si>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</si>
  <si>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</si>
  <si>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</si>
  <si>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</si>
  <si>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</si>
  <si>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</si>
  <si>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</si>
  <si>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</si>
  <si>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</si>
  <si>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</si>
  <si>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</si>
  <si>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</si>
  <si>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</si>
  <si>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</si>
  <si>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</si>
  <si>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</si>
  <si>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</si>
  <si>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</si>
  <si>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</si>
  <si>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</si>
  <si>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</si>
  <si>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</si>
  <si>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</si>
  <si>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</si>
  <si>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</si>
  <si>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</si>
  <si>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</si>
  <si>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</si>
  <si>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</si>
  <si>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</si>
  <si>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</si>
  <si>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</si>
  <si>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</si>
  <si>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</si>
  <si>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</si>
  <si>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</si>
  <si>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</si>
  <si>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</si>
  <si>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</si>
  <si>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</si>
  <si>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</si>
  <si>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</si>
  <si>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</si>
  <si>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</si>
  <si>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</si>
  <si>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</si>
  <si>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</si>
  <si>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</si>
  <si>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</si>
  <si>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</si>
  <si>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</si>
  <si>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</si>
  <si>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</si>
  <si>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</si>
  <si>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</si>
  <si>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</si>
  <si>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</si>
  <si>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</si>
  <si>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</si>
  <si>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</si>
  <si>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</si>
  <si>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</si>
  <si>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</si>
  <si>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</si>
  <si>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</si>
  <si>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</si>
  <si>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</si>
  <si>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</si>
  <si>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</si>
  <si>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</si>
  <si>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</si>
  <si>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</si>
  <si>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</si>
  <si>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</si>
  <si>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</si>
  <si>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</si>
  <si>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</si>
  <si>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</si>
  <si>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</si>
  <si>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</si>
  <si>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</si>
  <si>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</si>
  <si>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</si>
  <si>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</si>
  <si>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</si>
  <si>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</si>
  <si>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</si>
  <si>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</si>
  <si>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</si>
  <si>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</si>
  <si>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</si>
  <si>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</si>
  <si>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</si>
  <si>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</si>
  <si>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</si>
  <si>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</si>
  <si>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</si>
  <si>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</si>
  <si>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</si>
  <si>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</si>
  <si>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</si>
  <si>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</si>
  <si>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</si>
  <si>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</si>
  <si>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</si>
  <si>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</si>
  <si>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</si>
  <si>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</si>
  <si>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</si>
  <si>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</si>
  <si>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</si>
  <si>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</si>
  <si>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</si>
  <si>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</si>
  <si>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</si>
  <si>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</si>
  <si>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</si>
  <si>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</si>
  <si>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</si>
  <si>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</si>
  <si>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</si>
  <si>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</si>
  <si>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</si>
  <si>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</si>
  <si>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</si>
  <si>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</si>
  <si>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</si>
  <si>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</si>
  <si>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</si>
  <si>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</si>
  <si>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</si>
  <si>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</si>
  <si>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</si>
  <si>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</si>
  <si>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</si>
  <si>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</si>
  <si>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</si>
  <si>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</si>
  <si>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</si>
  <si>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</si>
  <si>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</si>
  <si>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</si>
  <si>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</si>
  <si>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</si>
  <si>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</si>
  <si>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</si>
  <si>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</si>
  <si>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</si>
  <si>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</si>
  <si>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</si>
  <si>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</si>
  <si>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</si>
  <si>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</si>
  <si>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</si>
  <si>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</si>
  <si>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</si>
  <si>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</si>
  <si>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</si>
  <si>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</si>
  <si>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</si>
  <si>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</si>
  <si>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</si>
  <si>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</si>
  <si>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</si>
  <si>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</si>
  <si>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</si>
  <si>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</si>
  <si>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</si>
  <si>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</si>
  <si>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</si>
  <si>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</si>
  <si>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</si>
  <si>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</si>
  <si>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</si>
  <si>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</si>
  <si>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</si>
  <si>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</si>
  <si>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</si>
  <si>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</si>
  <si>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</si>
  <si>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</si>
  <si>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</si>
  <si>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</si>
  <si>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</si>
  <si>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</si>
  <si>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</si>
  <si>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</si>
  <si>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</si>
  <si>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</si>
  <si>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</si>
  <si>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</si>
  <si>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</si>
  <si>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</si>
  <si>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</si>
  <si>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</si>
  <si>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</si>
  <si>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</si>
  <si>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</si>
  <si>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</si>
  <si>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</si>
  <si>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</si>
  <si>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</si>
  <si>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</si>
  <si>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</si>
  <si>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</si>
  <si>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</si>
  <si>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</si>
  <si>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</si>
  <si>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</si>
  <si>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</si>
  <si>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</si>
  <si>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</si>
  <si>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</si>
  <si>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</si>
  <si>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</si>
  <si>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</si>
  <si>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</si>
  <si>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</si>
  <si>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</si>
  <si>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</si>
  <si>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</si>
  <si>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</si>
  <si>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</si>
  <si>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</si>
  <si>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</si>
  <si>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</si>
  <si>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</si>
  <si>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</si>
  <si>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</si>
  <si>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</si>
  <si>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</si>
  <si>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</si>
  <si>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</si>
  <si>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</si>
  <si>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</si>
  <si>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</si>
  <si>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</si>
  <si>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</si>
  <si>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</si>
  <si>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</si>
  <si>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</si>
  <si>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</si>
  <si>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</si>
  <si>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</si>
  <si>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</si>
  <si>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</si>
  <si>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</si>
  <si>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</si>
  <si>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</si>
  <si>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</si>
  <si>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</si>
  <si>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</si>
  <si>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</si>
  <si>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</si>
  <si>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</si>
  <si>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</si>
  <si>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</si>
  <si>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</si>
  <si>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</si>
  <si>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</si>
  <si>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</si>
  <si>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</si>
  <si>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</si>
  <si>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</si>
  <si>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</si>
  <si>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</si>
  <si>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</si>
  <si>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</si>
  <si>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</si>
  <si>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</si>
  <si>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</si>
  <si>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</si>
  <si>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</si>
  <si>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</si>
  <si>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</si>
  <si>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</si>
  <si>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</si>
  <si>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</si>
  <si>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</si>
  <si>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</si>
  <si>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</si>
  <si>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</si>
  <si>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</si>
  <si>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</si>
  <si>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</si>
  <si>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</si>
  <si>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</si>
  <si>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</si>
  <si>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</si>
  <si>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</si>
  <si>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</si>
  <si>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</si>
  <si>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</si>
  <si>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</si>
  <si>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</si>
  <si>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</si>
  <si>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</si>
  <si>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</si>
  <si>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</si>
  <si>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</si>
  <si>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</si>
  <si>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</si>
  <si>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</si>
  <si>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</si>
  <si>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</si>
  <si>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</si>
  <si>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</si>
  <si>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</si>
  <si>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</si>
  <si>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</si>
  <si>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</si>
  <si>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</si>
  <si>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</si>
  <si>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</si>
  <si>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</si>
  <si>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</si>
  <si>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</si>
  <si>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</si>
  <si>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</si>
  <si>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</si>
  <si>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</si>
  <si>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</si>
  <si>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</si>
  <si>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</si>
  <si>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</si>
  <si>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</si>
  <si>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</si>
  <si>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</si>
  <si>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</si>
  <si>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</si>
  <si>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</si>
  <si>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</si>
  <si>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</si>
  <si>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</si>
  <si>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</si>
  <si>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</si>
  <si>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</si>
  <si>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</si>
  <si>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</si>
  <si>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</si>
  <si>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</si>
  <si>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</si>
  <si>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</si>
  <si>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</si>
  <si>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</si>
  <si>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</si>
  <si>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</si>
  <si>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</si>
  <si>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</si>
  <si>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</si>
  <si>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</si>
  <si>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</si>
  <si>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</si>
  <si>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</si>
  <si>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</si>
  <si>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</si>
  <si>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</si>
  <si>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</si>
  <si>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</si>
  <si>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</si>
  <si>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</si>
  <si>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</si>
  <si>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</si>
  <si>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</si>
  <si>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</si>
  <si>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</si>
  <si>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</si>
  <si>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</si>
  <si>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</si>
  <si>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</si>
  <si>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</si>
  <si>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</si>
  <si>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</si>
  <si>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</si>
  <si>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</si>
  <si>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</si>
  <si>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</si>
  <si>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</si>
  <si>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</si>
  <si>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</si>
  <si>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</si>
  <si>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</si>
  <si>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</si>
  <si>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</si>
  <si>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</si>
  <si>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</si>
  <si>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</si>
  <si>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</si>
  <si>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</si>
  <si>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</si>
  <si>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</si>
  <si>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</si>
  <si>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</si>
  <si>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</si>
  <si>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</si>
  <si>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</si>
  <si>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</si>
  <si>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</si>
  <si>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</si>
  <si>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</si>
  <si>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</si>
  <si>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</si>
  <si>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</si>
  <si>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</si>
  <si>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</si>
  <si>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</si>
  <si>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</si>
  <si>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</si>
  <si>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</si>
  <si>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</si>
  <si>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</si>
  <si>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</si>
  <si>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</si>
  <si>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</si>
  <si>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</si>
  <si>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</si>
  <si>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</si>
  <si>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</si>
  <si>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</si>
  <si>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</si>
  <si>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</si>
  <si>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</si>
  <si>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</si>
  <si>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</si>
  <si>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</si>
  <si>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</si>
  <si>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</si>
  <si>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</si>
  <si>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</si>
  <si>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</si>
  <si>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</si>
  <si>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</si>
  <si>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</si>
  <si>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</si>
  <si>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</si>
  <si>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</si>
  <si>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</si>
  <si>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</si>
  <si>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</si>
  <si>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</si>
  <si>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</si>
  <si>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</si>
  <si>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</si>
  <si>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</si>
  <si>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</si>
  <si>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</si>
  <si>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</si>
  <si>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</si>
  <si>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</si>
  <si>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</si>
  <si>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</si>
  <si>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</si>
  <si>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</si>
  <si>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</si>
  <si>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</si>
  <si>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</si>
  <si>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</si>
  <si>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</si>
  <si>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</si>
  <si>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</si>
  <si>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</si>
  <si>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</si>
  <si>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</si>
  <si>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</si>
  <si>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</si>
  <si>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</si>
  <si>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</si>
  <si>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</si>
  <si>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</si>
  <si>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</si>
  <si>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</si>
  <si>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</si>
  <si>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</si>
  <si>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</si>
  <si>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</si>
  <si>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</si>
  <si>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</si>
  <si>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</si>
  <si>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</si>
  <si>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</si>
  <si>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</si>
  <si>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</si>
  <si>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</si>
  <si>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</si>
  <si>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</si>
  <si>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</si>
  <si>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</si>
  <si>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</si>
  <si>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</si>
  <si>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</si>
  <si>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</si>
  <si>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</si>
  <si>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</si>
  <si>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</si>
  <si>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</si>
  <si>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</si>
  <si>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</si>
  <si>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</si>
  <si>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</si>
  <si>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</si>
  <si>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</si>
  <si>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</si>
  <si>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</si>
  <si>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</si>
  <si>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</si>
  <si>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</si>
  <si>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</si>
  <si>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</si>
  <si>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</si>
  <si>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</si>
  <si>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</si>
  <si>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</si>
  <si>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</si>
  <si>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</si>
  <si>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</si>
  <si>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</si>
  <si>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</si>
  <si>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</si>
  <si>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</si>
  <si>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</si>
  <si>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</si>
  <si>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</si>
  <si>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</si>
  <si>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</si>
  <si>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</si>
  <si>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</si>
  <si>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</si>
  <si>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</si>
  <si>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</si>
  <si>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</si>
  <si>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</si>
  <si>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</si>
  <si>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</si>
  <si>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</si>
  <si>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</si>
  <si>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</si>
  <si>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</si>
  <si>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</si>
  <si>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</si>
  <si>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</si>
  <si>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</si>
  <si>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</si>
  <si>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</si>
  <si>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</si>
  <si>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</si>
  <si>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</si>
  <si>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</si>
  <si>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</si>
  <si>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</si>
  <si>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</si>
  <si>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</si>
  <si>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</si>
  <si>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</si>
  <si>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</si>
  <si>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</si>
  <si>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</si>
  <si>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</si>
  <si>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</si>
  <si>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</si>
  <si>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</si>
  <si>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</si>
  <si>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</si>
  <si>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</si>
  <si>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</si>
  <si>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</si>
  <si>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</si>
  <si>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</si>
  <si>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</si>
  <si>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</si>
  <si>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</si>
  <si>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</si>
  <si>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</si>
  <si>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</si>
  <si>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</si>
  <si>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</si>
  <si>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</si>
  <si>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</si>
  <si>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</si>
  <si>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</si>
  <si>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</si>
  <si>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</si>
  <si>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</si>
  <si>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</si>
  <si>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</si>
  <si>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</si>
  <si>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</si>
  <si>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</si>
  <si>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</si>
  <si>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</si>
  <si>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</si>
  <si>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</si>
  <si>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</si>
  <si>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</si>
  <si>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</si>
  <si>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</si>
  <si>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</si>
  <si>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</si>
  <si>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</si>
  <si>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</si>
  <si>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</si>
  <si>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</si>
  <si>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</si>
  <si>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</si>
  <si>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</si>
  <si>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</si>
  <si>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</si>
  <si>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</si>
  <si>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</si>
  <si>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</si>
  <si>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</si>
  <si>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</si>
  <si>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</si>
  <si>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</si>
  <si>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</si>
  <si>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</si>
  <si>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</si>
  <si>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</si>
  <si>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</si>
  <si>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</si>
  <si>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</si>
  <si>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</si>
  <si>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</si>
  <si>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</si>
  <si>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</si>
  <si>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</si>
  <si>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</si>
  <si>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</si>
  <si>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</si>
  <si>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</si>
  <si>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</si>
  <si>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</si>
  <si>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</si>
  <si>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</si>
  <si>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</si>
  <si>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</si>
  <si>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</si>
  <si>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</si>
  <si>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</si>
  <si>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</si>
  <si>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</si>
  <si>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</si>
  <si>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</si>
  <si>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</si>
  <si>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</si>
  <si>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</si>
  <si>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</si>
  <si>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</si>
  <si>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</si>
  <si>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</si>
  <si>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</si>
  <si>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</si>
  <si>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</si>
  <si>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</si>
  <si>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</si>
  <si>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</si>
  <si>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</si>
  <si>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</si>
  <si>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</si>
  <si>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</si>
  <si>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</si>
  <si>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</si>
  <si>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</si>
  <si>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</si>
  <si>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</si>
  <si>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</si>
  <si>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</si>
  <si>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</si>
  <si>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</si>
  <si>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</si>
  <si>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</si>
  <si>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</si>
  <si>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</si>
  <si>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</si>
  <si>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</si>
  <si>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</si>
  <si>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</si>
  <si>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</si>
  <si>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</si>
  <si>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</si>
  <si>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</si>
  <si>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</si>
  <si>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</si>
  <si>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</si>
  <si>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</si>
  <si>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</si>
  <si>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</si>
  <si>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</si>
  <si>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</si>
  <si>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</si>
  <si>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</si>
  <si>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</si>
  <si>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</si>
  <si>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</si>
  <si>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</si>
  <si>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</si>
  <si>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</si>
  <si>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</si>
  <si>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</si>
  <si>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</si>
  <si>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</si>
  <si>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</si>
  <si>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</si>
  <si>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</si>
  <si>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</si>
  <si>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</si>
  <si>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</si>
  <si>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</si>
  <si>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</si>
  <si>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</si>
  <si>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</si>
  <si>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</si>
  <si>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</si>
  <si>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</si>
  <si>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</si>
  <si>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</si>
  <si>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</si>
  <si>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</si>
  <si>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</si>
  <si>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</si>
  <si>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</si>
  <si>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</si>
  <si>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</si>
  <si>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</si>
  <si>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</si>
  <si>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</si>
  <si>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</si>
  <si>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</si>
  <si>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</si>
  <si>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</si>
  <si>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</si>
  <si>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</si>
  <si>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</si>
  <si>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</si>
  <si>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</si>
  <si>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</si>
  <si>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</si>
  <si>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</si>
  <si>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</si>
  <si>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</si>
  <si>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</si>
  <si>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</si>
  <si>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</si>
  <si>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</si>
  <si>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</si>
  <si>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</si>
  <si>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</si>
  <si>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</si>
  <si>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</si>
  <si>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</si>
  <si>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</si>
  <si>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</si>
  <si>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</si>
  <si>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</si>
  <si>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</si>
  <si>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</si>
  <si>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</si>
  <si>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10/11/1397</t>
  </si>
  <si>
    <t>خرید از شهروند و عابربانک 10/11</t>
  </si>
  <si>
    <t>عابر بانک و خرید شهروند</t>
  </si>
  <si>
    <t>12/11/1397</t>
  </si>
  <si>
    <t>خرید 12/11 از کارت سارا</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</si>
  <si>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</si>
  <si>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</si>
  <si>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</si>
  <si>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</si>
  <si>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</si>
  <si>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</si>
  <si>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</si>
  <si>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</si>
  <si>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</si>
  <si>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</si>
  <si>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</si>
  <si>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</si>
  <si>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</si>
  <si>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</si>
  <si>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</si>
  <si>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</si>
  <si>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</si>
  <si>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</si>
  <si>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</si>
  <si>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</si>
  <si>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</si>
  <si>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</si>
  <si>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</si>
  <si>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</si>
  <si>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</si>
  <si>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</si>
  <si>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</si>
  <si>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</si>
  <si>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</si>
  <si>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</si>
  <si>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</si>
  <si>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</si>
  <si>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</si>
  <si>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</si>
  <si>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</si>
  <si>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</si>
  <si>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</si>
  <si>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</si>
  <si>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</si>
  <si>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</si>
  <si>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</si>
  <si>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</si>
  <si>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</si>
  <si>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</si>
  <si>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</si>
  <si>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</si>
  <si>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</si>
  <si>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</si>
  <si>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</si>
  <si>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</si>
  <si>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</si>
  <si>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</si>
  <si>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</si>
  <si>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</si>
  <si>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</si>
  <si>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</si>
  <si>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</si>
  <si>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</si>
  <si>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</si>
  <si>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</si>
  <si>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</si>
  <si>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</si>
  <si>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</si>
  <si>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</si>
  <si>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</si>
  <si>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</si>
  <si>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</si>
  <si>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</si>
  <si>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</si>
  <si>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</si>
  <si>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</si>
  <si>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</si>
  <si>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</si>
  <si>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</si>
  <si>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</si>
  <si>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</si>
  <si>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</si>
  <si>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</si>
  <si>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</si>
  <si>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</si>
  <si>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</si>
  <si>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</si>
  <si>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</si>
  <si>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</si>
  <si>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</si>
  <si>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</si>
  <si>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</si>
  <si>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</si>
  <si>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</si>
  <si>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</si>
  <si>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</si>
  <si>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</si>
  <si>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</si>
  <si>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</si>
  <si>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</si>
  <si>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</si>
  <si>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</si>
  <si>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</si>
  <si>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</si>
  <si>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</si>
  <si>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</si>
  <si>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</si>
  <si>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</si>
  <si>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</si>
  <si>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</si>
  <si>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</si>
  <si>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</si>
  <si>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</si>
  <si>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</si>
  <si>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</si>
  <si>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</si>
  <si>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</si>
  <si>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</si>
  <si>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</si>
  <si>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</si>
  <si>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</si>
  <si>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</si>
  <si>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</si>
  <si>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</si>
  <si>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</si>
  <si>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</si>
  <si>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</si>
  <si>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</si>
  <si>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</si>
  <si>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</si>
  <si>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</si>
  <si>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</si>
  <si>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</si>
  <si>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</si>
  <si>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</si>
  <si>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</si>
  <si>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</si>
  <si>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</si>
  <si>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</si>
  <si>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</si>
  <si>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</si>
  <si>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</si>
  <si>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</si>
  <si>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</si>
  <si>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</si>
  <si>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</si>
  <si>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</si>
  <si>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</si>
  <si>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</si>
  <si>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</si>
  <si>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</si>
  <si>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</si>
  <si>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</si>
  <si>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</si>
  <si>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</si>
  <si>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</si>
  <si>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</si>
  <si>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</si>
  <si>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</si>
  <si>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</si>
  <si>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</si>
  <si>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</si>
  <si>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</si>
  <si>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</si>
  <si>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</si>
  <si>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</si>
  <si>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</si>
  <si>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</si>
  <si>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</si>
  <si>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</si>
  <si>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</si>
  <si>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</si>
  <si>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</si>
  <si>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</si>
  <si>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</si>
  <si>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</si>
  <si>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</si>
  <si>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</si>
  <si>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</si>
  <si>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</si>
  <si>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</si>
  <si>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</si>
  <si>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</si>
  <si>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</si>
  <si>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</si>
  <si>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</si>
  <si>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</si>
  <si>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</si>
  <si>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</si>
  <si>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</si>
  <si>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</si>
  <si>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</si>
  <si>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</si>
  <si>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</si>
  <si>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</si>
  <si>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</si>
  <si>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</si>
  <si>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</si>
  <si>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</si>
  <si>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</si>
  <si>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</si>
  <si>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</si>
  <si>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</si>
  <si>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</si>
  <si>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</si>
  <si>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</si>
  <si>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</si>
  <si>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</si>
  <si>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</si>
  <si>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</si>
  <si>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</si>
  <si>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</si>
  <si>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</si>
  <si>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</si>
  <si>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</si>
  <si>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</si>
  <si>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</si>
  <si>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</si>
  <si>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</si>
  <si>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</si>
  <si>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</si>
  <si>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</si>
  <si>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</si>
  <si>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</si>
  <si>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</si>
  <si>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</si>
  <si>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</si>
  <si>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</si>
  <si>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</si>
  <si>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</si>
  <si>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</si>
  <si>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</si>
  <si>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</si>
  <si>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</si>
  <si>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</si>
  <si>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</si>
  <si>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</si>
  <si>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</si>
  <si>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</si>
  <si>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</si>
  <si>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</si>
  <si>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</si>
  <si>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</si>
  <si>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</si>
  <si>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</si>
  <si>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</si>
  <si>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</si>
  <si>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</si>
  <si>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</si>
  <si>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</si>
  <si>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</si>
  <si>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</si>
  <si>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</si>
  <si>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</si>
  <si>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</si>
  <si>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</si>
  <si>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</si>
  <si>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</si>
  <si>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</si>
  <si>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</si>
  <si>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</si>
  <si>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</si>
  <si>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</si>
  <si>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</si>
  <si>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</si>
  <si>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</si>
  <si>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</si>
  <si>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</si>
  <si>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</si>
  <si>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</si>
  <si>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</si>
  <si>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</si>
  <si>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</si>
  <si>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</si>
  <si>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</si>
  <si>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</si>
  <si>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</si>
  <si>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</si>
  <si>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</si>
  <si>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</si>
  <si>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</si>
  <si>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</si>
  <si>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</si>
  <si>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</si>
  <si>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</si>
  <si>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</si>
  <si>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</si>
  <si>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</si>
  <si>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</si>
  <si>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</si>
  <si>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</si>
  <si>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</si>
  <si>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</si>
  <si>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</si>
  <si>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</si>
  <si>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</si>
  <si>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</si>
  <si>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</si>
  <si>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</si>
  <si>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</si>
  <si>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</si>
  <si>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</si>
  <si>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</si>
  <si>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</si>
  <si>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</si>
  <si>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</si>
  <si>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</si>
  <si>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</si>
  <si>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</si>
  <si>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</si>
  <si>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</si>
  <si>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</si>
  <si>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</si>
  <si>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</si>
  <si>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</si>
  <si>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</si>
  <si>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</si>
  <si>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</si>
  <si>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</si>
  <si>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</si>
  <si>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</si>
  <si>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</si>
  <si>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</si>
  <si>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</si>
  <si>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</si>
  <si>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</si>
  <si>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</si>
  <si>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</si>
  <si>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</si>
  <si>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</si>
  <si>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</si>
  <si>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</si>
  <si>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</si>
  <si>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</si>
  <si>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</si>
  <si>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</si>
  <si>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</si>
  <si>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</si>
  <si>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</si>
  <si>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</si>
  <si>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</si>
  <si>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</si>
  <si>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</si>
  <si>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</si>
  <si>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</si>
  <si>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</si>
  <si>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</si>
  <si>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</si>
  <si>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</si>
  <si>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</si>
  <si>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</si>
  <si>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</si>
  <si>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</si>
  <si>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</si>
  <si>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</si>
  <si>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</si>
  <si>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</si>
  <si>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</si>
  <si>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</si>
  <si>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</si>
  <si>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</si>
  <si>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</si>
  <si>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</si>
  <si>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</si>
  <si>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</si>
  <si>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</si>
  <si>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</si>
  <si>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</si>
  <si>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</si>
  <si>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</si>
  <si>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</si>
  <si>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</si>
  <si>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</si>
  <si>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</si>
  <si>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</si>
  <si>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</si>
  <si>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</si>
  <si>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</si>
  <si>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</si>
  <si>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</si>
  <si>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</si>
  <si>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</si>
  <si>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</si>
  <si>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</si>
  <si>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</si>
  <si>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</si>
  <si>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</si>
  <si>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</si>
  <si>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</si>
  <si>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</si>
  <si>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</si>
  <si>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</si>
  <si>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</si>
  <si>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</si>
  <si>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</si>
  <si>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</si>
  <si>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</si>
  <si>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</si>
  <si>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</si>
  <si>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</si>
  <si>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</si>
  <si>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</si>
  <si>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</si>
  <si>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</si>
  <si>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</si>
  <si>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</si>
  <si>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</si>
  <si>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</si>
  <si>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</si>
  <si>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</si>
  <si>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</si>
  <si>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</si>
  <si>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</si>
  <si>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</si>
  <si>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</si>
  <si>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</si>
  <si>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</si>
  <si>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</si>
  <si>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</si>
  <si>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</si>
  <si>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</si>
  <si>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</si>
  <si>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</si>
  <si>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</si>
  <si>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</si>
  <si>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</si>
  <si>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</si>
  <si>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</si>
  <si>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</si>
  <si>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</si>
  <si>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</si>
  <si>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</si>
  <si>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</si>
  <si>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</si>
  <si>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</si>
  <si>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</si>
  <si>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</si>
  <si>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</si>
  <si>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</si>
  <si>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</si>
  <si>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</si>
  <si>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</si>
  <si>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</si>
  <si>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</si>
  <si>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</si>
  <si>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</si>
  <si>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</si>
  <si>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</si>
  <si>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</si>
  <si>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</si>
  <si>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</si>
  <si>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</si>
  <si>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</si>
  <si>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</si>
  <si>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</si>
  <si>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</si>
  <si>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</si>
  <si>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</si>
  <si>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</si>
  <si>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</si>
  <si>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</si>
  <si>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</si>
  <si>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</si>
  <si>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</si>
  <si>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</si>
  <si>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</si>
  <si>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</si>
  <si>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</si>
  <si>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</si>
  <si>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</si>
  <si>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</si>
  <si>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</si>
  <si>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</si>
  <si>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</si>
  <si>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</si>
  <si>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</si>
  <si>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</si>
  <si>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</si>
  <si>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</si>
  <si>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</si>
  <si>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</si>
  <si>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</si>
  <si>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</si>
  <si>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</si>
  <si>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</si>
  <si>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</si>
  <si>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</si>
  <si>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</si>
  <si>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</si>
  <si>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</si>
  <si>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</si>
  <si>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</si>
  <si>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</si>
  <si>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</si>
  <si>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</si>
  <si>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</si>
  <si>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</si>
  <si>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</si>
  <si>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</si>
  <si>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</si>
  <si>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</si>
  <si>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</si>
  <si>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</si>
  <si>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</si>
  <si>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</si>
  <si>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</si>
  <si>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</si>
  <si>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</si>
  <si>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</si>
  <si>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</si>
  <si>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</si>
  <si>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</si>
  <si>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</si>
  <si>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</si>
  <si>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</si>
  <si>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</si>
  <si>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</si>
  <si>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</si>
  <si>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</si>
  <si>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</si>
  <si>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</si>
  <si>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</si>
  <si>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</si>
  <si>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</si>
  <si>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</si>
  <si>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</si>
  <si>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</si>
  <si>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</si>
  <si>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</si>
  <si>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</si>
  <si>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</si>
  <si>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</si>
  <si>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</si>
  <si>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</si>
  <si>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</si>
  <si>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</si>
  <si>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</si>
  <si>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</si>
  <si>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</si>
  <si>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</si>
  <si>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</si>
  <si>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</si>
  <si>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</si>
  <si>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</si>
  <si>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</si>
  <si>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</si>
  <si>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</si>
  <si>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</si>
  <si>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</si>
  <si>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</si>
  <si>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</si>
  <si>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</si>
  <si>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</si>
  <si>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</si>
  <si>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</si>
  <si>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</si>
  <si>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</si>
  <si>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</si>
  <si>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</si>
  <si>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</si>
  <si>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</si>
  <si>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</si>
  <si>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</si>
  <si>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</si>
  <si>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</si>
  <si>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</si>
  <si>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</si>
  <si>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</si>
  <si>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</si>
  <si>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</si>
  <si>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</si>
  <si>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</si>
  <si>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</si>
  <si>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</si>
  <si>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</si>
  <si>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</si>
  <si>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</si>
  <si>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</si>
  <si>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</si>
  <si>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</si>
  <si>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</si>
  <si>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</si>
  <si>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</si>
  <si>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</si>
  <si>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</si>
  <si>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</si>
  <si>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</si>
  <si>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</si>
  <si>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</si>
  <si>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</si>
  <si>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</si>
  <si>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</si>
  <si>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</si>
  <si>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</si>
  <si>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</si>
  <si>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</si>
  <si>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</si>
  <si>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</si>
  <si>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</si>
  <si>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</si>
  <si>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</si>
  <si>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</si>
  <si>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</si>
  <si>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</si>
  <si>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</si>
  <si>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</si>
  <si>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</si>
  <si>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</si>
  <si>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</si>
  <si>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</si>
  <si>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</si>
  <si>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</si>
  <si>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</si>
  <si>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</si>
  <si>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</si>
  <si>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</si>
  <si>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</si>
  <si>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</si>
  <si>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</si>
  <si>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</si>
  <si>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</si>
  <si>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</si>
  <si>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</si>
  <si>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</si>
  <si>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</si>
  <si>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</si>
  <si>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</si>
  <si>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</si>
  <si>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</si>
  <si>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</si>
  <si>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</si>
  <si>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</si>
  <si>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</si>
  <si>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</si>
  <si>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</si>
  <si>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</si>
  <si>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</si>
  <si>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</si>
  <si>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</si>
  <si>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</si>
  <si>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</si>
  <si>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</si>
  <si>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</si>
  <si>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</si>
  <si>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</si>
  <si>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</si>
  <si>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</si>
  <si>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</si>
  <si>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</si>
  <si>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</si>
  <si>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</si>
  <si>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</si>
  <si>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</si>
  <si>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</si>
  <si>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</si>
  <si>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</si>
  <si>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</si>
  <si>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</si>
  <si>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</si>
  <si>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</si>
  <si>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</si>
  <si>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</si>
  <si>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</si>
  <si>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</si>
  <si>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</si>
  <si>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</si>
  <si>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</si>
  <si>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</si>
  <si>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</si>
  <si>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</si>
  <si>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</si>
  <si>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</si>
  <si>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</si>
  <si>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</si>
  <si>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</si>
  <si>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</si>
  <si>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</si>
  <si>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</si>
  <si>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</si>
  <si>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</si>
  <si>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</si>
  <si>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</si>
  <si>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</si>
  <si>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</si>
  <si>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</si>
  <si>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</si>
  <si>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</si>
  <si>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</si>
  <si>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</si>
  <si>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</si>
  <si>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</si>
  <si>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</si>
  <si>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</si>
  <si>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</si>
  <si>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</si>
  <si>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</si>
  <si>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</si>
  <si>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</si>
  <si>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</si>
  <si>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</si>
  <si>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</si>
  <si>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</si>
  <si>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</si>
  <si>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</si>
  <si>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</si>
  <si>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</si>
  <si>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</si>
  <si>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</si>
  <si>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</si>
  <si>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</si>
  <si>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</si>
  <si>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</si>
  <si>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</si>
  <si>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</si>
  <si>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</si>
  <si>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</si>
  <si>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</si>
  <si>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</si>
  <si>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</si>
  <si>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</si>
  <si>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</si>
  <si>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</si>
  <si>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</si>
  <si>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</si>
  <si>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</si>
  <si>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</si>
  <si>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</si>
  <si>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</si>
  <si>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</si>
  <si>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</si>
  <si>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</si>
  <si>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</si>
  <si>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</si>
  <si>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</si>
  <si>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</si>
  <si>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</si>
  <si>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</si>
  <si>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</si>
  <si>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</si>
  <si>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</si>
  <si>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</si>
  <si>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</si>
  <si>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</si>
  <si>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</si>
  <si>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</si>
  <si>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</si>
  <si>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</si>
  <si>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</si>
  <si>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</si>
  <si>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</si>
  <si>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</si>
  <si>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</si>
  <si>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</si>
  <si>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</si>
  <si>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</si>
  <si>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</si>
  <si>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</si>
  <si>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</si>
  <si>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</si>
  <si>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</si>
  <si>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</si>
  <si>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</si>
  <si>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</si>
  <si>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</si>
  <si>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</si>
  <si>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</si>
  <si>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</si>
  <si>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</si>
  <si>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</si>
  <si>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</si>
  <si>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</si>
  <si>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</si>
  <si>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</si>
  <si>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</si>
  <si>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</si>
  <si>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</si>
  <si>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</si>
  <si>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</si>
  <si>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</si>
  <si>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</si>
  <si>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</si>
  <si>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</si>
  <si>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</si>
  <si>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</si>
  <si>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</si>
  <si>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</si>
  <si>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</si>
  <si>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</si>
  <si>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</si>
  <si>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</si>
  <si>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</si>
  <si>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</si>
  <si>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</si>
  <si>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</si>
  <si>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</si>
  <si>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</si>
  <si>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</si>
  <si>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</si>
  <si>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</si>
  <si>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</si>
  <si>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</si>
  <si>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</si>
  <si>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</si>
  <si>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</si>
  <si>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</si>
  <si>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</si>
  <si>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</si>
  <si>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</si>
  <si>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</si>
  <si>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</si>
  <si>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</si>
  <si>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</si>
  <si>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</si>
  <si>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</si>
  <si>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</si>
  <si>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</si>
  <si>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</si>
  <si>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</si>
  <si>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</si>
  <si>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</si>
  <si>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</si>
  <si>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</si>
  <si>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</si>
  <si>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</si>
  <si>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</si>
  <si>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</si>
  <si>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</si>
  <si>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</si>
  <si>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</si>
  <si>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</si>
  <si>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</si>
  <si>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</si>
  <si>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</si>
  <si>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</si>
  <si>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</si>
  <si>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</si>
  <si>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</si>
  <si>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</si>
  <si>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</si>
  <si>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</si>
  <si>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</si>
  <si>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</si>
  <si>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</si>
  <si>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</si>
  <si>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</si>
  <si>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</si>
  <si>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</si>
  <si>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</si>
  <si>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</si>
  <si>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</si>
  <si>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</si>
  <si>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</si>
  <si>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</si>
  <si>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</si>
  <si>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</si>
  <si>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</si>
  <si>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</si>
  <si>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</si>
  <si>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</si>
  <si>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</si>
  <si>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</si>
  <si>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</si>
  <si>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</si>
  <si>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</si>
  <si>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</si>
  <si>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</si>
  <si>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</si>
  <si>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</si>
  <si>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</si>
  <si>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</si>
  <si>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</si>
  <si>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</si>
  <si>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</si>
  <si>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</si>
  <si>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</si>
  <si>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</si>
  <si>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</si>
  <si>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</si>
  <si>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</si>
  <si>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</si>
  <si>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</si>
  <si>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</si>
  <si>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</si>
  <si>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</si>
  <si>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</si>
  <si>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</si>
  <si>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</si>
  <si>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</si>
  <si>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</si>
  <si>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</si>
  <si>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</si>
  <si>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</si>
  <si>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</si>
  <si>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</si>
  <si>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</si>
  <si>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</si>
  <si>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</si>
  <si>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</si>
  <si>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</si>
  <si>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</si>
  <si>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</si>
  <si>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</si>
  <si>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</si>
  <si>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</si>
  <si>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</si>
  <si>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</si>
  <si>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</si>
  <si>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</si>
  <si>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</si>
  <si>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</si>
  <si>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</si>
  <si>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</si>
  <si>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</si>
  <si>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</si>
  <si>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</si>
  <si>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</si>
  <si>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</si>
  <si>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</si>
  <si>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</si>
  <si>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</si>
  <si>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</si>
  <si>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</si>
  <si>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</si>
  <si>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</si>
  <si>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</si>
  <si>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</si>
  <si>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</si>
  <si>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</si>
  <si>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</si>
  <si>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</si>
  <si>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</si>
  <si>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</si>
  <si>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</si>
  <si>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</si>
  <si>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</si>
  <si>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</si>
  <si>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</si>
  <si>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</si>
  <si>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</si>
  <si>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</si>
  <si>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</si>
  <si>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</si>
  <si>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</si>
  <si>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</si>
  <si>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</si>
  <si>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</si>
  <si>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</si>
  <si>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</si>
  <si>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</si>
  <si>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</si>
  <si>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</si>
  <si>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</si>
  <si>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</si>
  <si>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</si>
  <si>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</si>
  <si>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</si>
  <si>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</si>
  <si>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</si>
  <si>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</si>
  <si>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</si>
  <si>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</si>
  <si>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</si>
  <si>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</si>
  <si>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</si>
  <si>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</si>
  <si>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</si>
  <si>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</si>
  <si>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</si>
  <si>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</si>
  <si>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</si>
  <si>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</si>
  <si>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</si>
  <si>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</si>
  <si>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</si>
  <si>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</si>
  <si>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</si>
  <si>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</si>
  <si>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</si>
  <si>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</si>
  <si>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</si>
  <si>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</si>
  <si>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</si>
  <si>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</si>
  <si>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</si>
  <si>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</si>
  <si>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</si>
  <si>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</si>
  <si>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</si>
  <si>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</si>
  <si>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</si>
  <si>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</si>
  <si>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</si>
  <si>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</si>
  <si>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</si>
  <si>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</si>
  <si>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</si>
  <si>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</si>
  <si>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</si>
  <si>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</si>
  <si>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</si>
  <si>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</si>
  <si>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</si>
  <si>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</si>
  <si>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</si>
  <si>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</si>
  <si>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</si>
  <si>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</si>
  <si>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</si>
  <si>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</si>
  <si>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</si>
  <si>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</si>
  <si>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</si>
  <si>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</si>
  <si>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</si>
  <si>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</si>
  <si>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</si>
  <si>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</si>
  <si>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</si>
  <si>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</si>
  <si>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</si>
  <si>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</si>
  <si>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</si>
  <si>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</si>
  <si>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</si>
  <si>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</si>
  <si>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</si>
  <si>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</si>
  <si>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</si>
  <si>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</si>
  <si>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</si>
  <si>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</si>
  <si>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</si>
  <si>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</si>
  <si>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</si>
  <si>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</si>
  <si>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</si>
  <si>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</si>
  <si>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</si>
  <si>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</si>
  <si>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</si>
  <si>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</si>
  <si>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</si>
  <si>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</si>
  <si>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</si>
  <si>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</si>
  <si>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</si>
  <si>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</si>
  <si>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</si>
  <si>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</si>
  <si>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</si>
  <si>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</si>
  <si>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</si>
  <si>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</si>
  <si>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</si>
  <si>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</si>
  <si>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</si>
  <si>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</si>
  <si>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</si>
  <si>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</si>
  <si>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</si>
  <si>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</si>
  <si>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</si>
  <si>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</si>
  <si>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</si>
  <si>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</si>
  <si>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</si>
  <si>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</si>
  <si>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</si>
  <si>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</si>
  <si>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</si>
  <si>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</si>
  <si>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</si>
  <si>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</si>
  <si>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</si>
  <si>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</si>
  <si>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</si>
  <si>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</si>
  <si>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</si>
  <si>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</si>
  <si>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</si>
  <si>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</si>
  <si>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</si>
  <si>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</si>
  <si>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</si>
  <si>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</si>
  <si>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</si>
  <si>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</si>
  <si>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</si>
  <si>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</si>
  <si>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</si>
  <si>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</si>
  <si>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</si>
  <si>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</si>
  <si>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</si>
  <si>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</si>
  <si>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</si>
  <si>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</si>
  <si>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</si>
  <si>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</si>
  <si>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</si>
  <si>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</si>
  <si>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</si>
  <si>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</si>
  <si>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</si>
  <si>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</si>
  <si>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</si>
  <si>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</si>
  <si>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</si>
  <si>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</si>
  <si>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</si>
  <si>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</si>
  <si>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</si>
  <si>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</si>
  <si>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</si>
  <si>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</si>
  <si>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</si>
  <si>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</si>
  <si>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</si>
  <si>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</si>
  <si>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</si>
  <si>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</si>
  <si>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</si>
  <si>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</si>
  <si>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</si>
  <si>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</si>
  <si>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</si>
  <si>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</si>
  <si>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</si>
  <si>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</si>
  <si>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</si>
  <si>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</si>
  <si>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</si>
  <si>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</si>
  <si>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</si>
  <si>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</si>
  <si>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</si>
  <si>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</si>
  <si>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</si>
  <si>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</si>
  <si>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</si>
  <si>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</si>
  <si>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</si>
  <si>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</si>
  <si>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</si>
  <si>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</si>
  <si>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</si>
  <si>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</si>
  <si>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</si>
  <si>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</si>
  <si>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</si>
  <si>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</si>
  <si>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</si>
  <si>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</si>
  <si>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</si>
  <si>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</si>
  <si>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</si>
  <si>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</si>
  <si>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</si>
  <si>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</si>
  <si>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</si>
  <si>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</si>
  <si>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</si>
  <si>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</si>
  <si>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</si>
  <si>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</si>
  <si>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</si>
  <si>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</si>
  <si>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</si>
  <si>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</si>
  <si>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</si>
  <si>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</si>
  <si>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</si>
  <si>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</si>
  <si>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</si>
  <si>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</si>
  <si>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</si>
  <si>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</si>
  <si>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</si>
  <si>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</si>
  <si>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</si>
  <si>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</si>
  <si>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</si>
  <si>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</si>
  <si>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</si>
  <si>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</si>
  <si>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</si>
  <si>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</si>
  <si>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</si>
  <si>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</si>
  <si>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</si>
  <si>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</si>
  <si>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</si>
  <si>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</si>
  <si>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</si>
  <si>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</si>
  <si>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</si>
  <si>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</si>
  <si>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</si>
  <si>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</si>
  <si>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</si>
  <si>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</si>
  <si>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</si>
  <si>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</si>
  <si>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</si>
  <si>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</si>
  <si>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</si>
  <si>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</si>
  <si>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</si>
  <si>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</si>
  <si>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</si>
  <si>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</si>
  <si>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</si>
  <si>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</si>
  <si>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</si>
  <si>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</si>
  <si>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</si>
  <si>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</si>
  <si>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</si>
  <si>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</si>
  <si>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</si>
  <si>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</si>
  <si>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</si>
  <si>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</si>
  <si>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</si>
  <si>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</si>
  <si>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</si>
  <si>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</si>
  <si>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</si>
  <si>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</si>
  <si>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</si>
  <si>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</si>
  <si>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</si>
  <si>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</si>
  <si>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</si>
  <si>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سکه</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</si>
  <si>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</si>
  <si>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</si>
  <si>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</si>
  <si>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</si>
  <si>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</si>
  <si>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</si>
  <si>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</si>
  <si>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</si>
  <si>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</si>
  <si>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</si>
  <si>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سرمایه
(میلیون ریال)</t>
  </si>
  <si>
    <t>نام شرکت</t>
  </si>
  <si>
    <t>سود انتظاری 1400</t>
  </si>
  <si>
    <t>11,730</t>
  </si>
  <si>
    <t>1,091,599,378</t>
  </si>
  <si>
    <t>2,263,562,420</t>
  </si>
  <si>
    <t>1,000</t>
  </si>
  <si>
    <t>72,000,000</t>
  </si>
  <si>
    <t>سرمايه گذاري غدير</t>
  </si>
  <si>
    <t>47,550</t>
  </si>
  <si>
    <t>2,655,406</t>
  </si>
  <si>
    <t>134,368,667</t>
  </si>
  <si>
    <t>1,090,296</t>
  </si>
  <si>
    <t>ساختمان ايران</t>
  </si>
  <si>
    <t>20,070</t>
  </si>
  <si>
    <t>0</t>
  </si>
  <si>
    <t>2,605,542,578</t>
  </si>
  <si>
    <t>74,400,000</t>
  </si>
  <si>
    <t>سنگ آهن گل گهر</t>
  </si>
  <si>
    <t>4,800</t>
  </si>
  <si>
    <t>12,200,000</t>
  </si>
  <si>
    <t>1,230,000,000</t>
  </si>
  <si>
    <t>30,425,734</t>
  </si>
  <si>
    <t>بانک اقتصاد نوين</t>
  </si>
  <si>
    <t>14,670</t>
  </si>
  <si>
    <t>5,000,000</t>
  </si>
  <si>
    <t>1,032,466,348</t>
  </si>
  <si>
    <t>76,000,000</t>
  </si>
  <si>
    <t>پالايش نفت اصفهان</t>
  </si>
  <si>
    <t>73,472</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</si>
  <si>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</si>
  <si>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</si>
  <si>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</si>
  <si>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</si>
  <si>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</si>
  <si>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</si>
  <si>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</si>
  <si>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</si>
  <si>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</si>
  <si>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</si>
  <si>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</si>
  <si>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</si>
  <si>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</si>
  <si>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</si>
  <si>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</si>
  <si>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</si>
  <si>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</si>
  <si>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</si>
  <si>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</si>
  <si>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</si>
  <si>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</si>
  <si>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</si>
  <si>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285,856</t>
  </si>
  <si>
    <t>22,757,230</t>
  </si>
  <si>
    <t>2,500,000</t>
  </si>
  <si>
    <t>نفت پارس</t>
  </si>
  <si>
    <t>35,420</t>
  </si>
  <si>
    <t>1,288,989</t>
  </si>
  <si>
    <t>36,391,574</t>
  </si>
  <si>
    <t>3,000,000</t>
  </si>
  <si>
    <t>به پرداخت ملت</t>
  </si>
  <si>
    <t>19,980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</si>
  <si>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</si>
  <si>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</si>
  <si>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</si>
  <si>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</si>
  <si>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</si>
  <si>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</si>
  <si>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</si>
  <si>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</si>
  <si>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</si>
  <si>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</si>
  <si>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</si>
  <si>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</si>
  <si>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</si>
  <si>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</si>
  <si>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</si>
  <si>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</si>
  <si>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</si>
  <si>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</si>
  <si>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</si>
  <si>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</si>
  <si>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</si>
  <si>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</si>
  <si>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</si>
  <si>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</si>
  <si>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</si>
  <si>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</si>
  <si>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</si>
  <si>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</si>
  <si>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</si>
  <si>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</si>
  <si>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</si>
  <si>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</si>
  <si>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</si>
  <si>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</si>
  <si>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</si>
  <si>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</si>
  <si>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</si>
  <si>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</si>
  <si>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</si>
  <si>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</si>
  <si>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</si>
  <si>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</si>
  <si>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</si>
  <si>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</si>
  <si>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</si>
  <si>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</si>
  <si>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235,760,160</t>
  </si>
  <si>
    <t>500,000,000</t>
  </si>
  <si>
    <t>39,500,000</t>
  </si>
  <si>
    <t>بانک کارآفرين</t>
  </si>
  <si>
    <t>17,440</t>
  </si>
  <si>
    <t>539,762</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</si>
  <si>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</si>
  <si>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</si>
  <si>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</si>
  <si>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</si>
  <si>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</si>
  <si>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</si>
  <si>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</si>
  <si>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</si>
  <si>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</si>
  <si>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</si>
  <si>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</si>
  <si>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</si>
  <si>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</si>
  <si>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</si>
  <si>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</si>
  <si>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</si>
  <si>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</si>
  <si>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</si>
  <si>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</si>
  <si>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</si>
  <si>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</si>
  <si>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</si>
  <si>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</si>
  <si>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</si>
  <si>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</si>
  <si>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</si>
  <si>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</si>
  <si>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</si>
  <si>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</si>
  <si>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</si>
  <si>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</si>
  <si>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</si>
  <si>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</si>
  <si>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</si>
  <si>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</si>
  <si>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</si>
  <si>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</si>
  <si>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</si>
  <si>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</si>
  <si>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</si>
  <si>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</si>
  <si>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</si>
  <si>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</si>
  <si>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</si>
  <si>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</si>
  <si>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</si>
  <si>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</si>
  <si>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</si>
  <si>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</si>
  <si>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</si>
  <si>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</si>
  <si>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</si>
  <si>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</si>
  <si>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</si>
  <si>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</si>
  <si>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</si>
  <si>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</si>
  <si>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</si>
  <si>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</si>
  <si>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</si>
  <si>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</si>
  <si>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</si>
  <si>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</si>
  <si>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</si>
  <si>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</si>
  <si>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</si>
  <si>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</si>
  <si>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</si>
  <si>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</si>
  <si>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</si>
  <si>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</si>
  <si>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</si>
  <si>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</si>
  <si>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</si>
  <si>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</si>
  <si>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</si>
  <si>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</si>
  <si>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</si>
  <si>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</si>
  <si>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</si>
  <si>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</si>
  <si>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</si>
  <si>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</si>
  <si>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</si>
  <si>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</si>
  <si>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</si>
  <si>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</si>
  <si>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</si>
  <si>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</si>
  <si>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</si>
  <si>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</si>
  <si>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</si>
  <si>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</si>
  <si>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</si>
  <si>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</si>
  <si>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</si>
  <si>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</si>
  <si>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</si>
  <si>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</si>
  <si>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</si>
  <si>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</si>
  <si>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</si>
  <si>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</si>
  <si>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</si>
  <si>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</si>
  <si>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</si>
  <si>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</si>
  <si>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</si>
  <si>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</si>
  <si>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</si>
  <si>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</si>
  <si>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</si>
  <si>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</si>
  <si>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</si>
  <si>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</si>
  <si>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</si>
  <si>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</si>
  <si>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</si>
  <si>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</si>
  <si>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</si>
  <si>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</si>
  <si>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</si>
  <si>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</si>
  <si>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</si>
  <si>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</si>
  <si>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</si>
  <si>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</si>
  <si>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</si>
  <si>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</si>
  <si>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</si>
  <si>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</si>
  <si>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</si>
  <si>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</si>
  <si>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</si>
  <si>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</si>
  <si>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</si>
  <si>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</si>
  <si>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</si>
  <si>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</si>
  <si>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</si>
  <si>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</si>
  <si>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</si>
  <si>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</si>
  <si>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</si>
  <si>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</si>
  <si>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</si>
  <si>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</si>
  <si>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</si>
  <si>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</si>
  <si>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</si>
  <si>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</si>
  <si>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</si>
  <si>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</si>
  <si>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</si>
  <si>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</si>
  <si>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</si>
  <si>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</si>
  <si>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</si>
  <si>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</si>
  <si>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</si>
  <si>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</si>
  <si>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</si>
  <si>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</si>
  <si>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</si>
  <si>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</si>
  <si>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</si>
  <si>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</si>
  <si>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</si>
  <si>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</si>
  <si>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</si>
  <si>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</si>
  <si>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</si>
  <si>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</si>
  <si>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</si>
  <si>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</si>
  <si>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</si>
  <si>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</si>
  <si>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</si>
  <si>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</si>
  <si>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</si>
  <si>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</si>
  <si>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</si>
  <si>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</si>
  <si>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</si>
  <si>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</si>
  <si>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</si>
  <si>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</si>
  <si>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</si>
  <si>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</si>
  <si>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(19,636,910)</t>
  </si>
  <si>
    <t>19,639,910</t>
  </si>
  <si>
    <t>پتروشيمي خارک</t>
  </si>
  <si>
    <t>13,920</t>
  </si>
  <si>
    <t>500</t>
  </si>
  <si>
    <t>35,981</t>
  </si>
  <si>
    <t>1,800,000</t>
  </si>
  <si>
    <t>فيبر ايران</t>
  </si>
  <si>
    <t>36,760</t>
  </si>
  <si>
    <t>98</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</si>
  <si>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</si>
  <si>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</si>
  <si>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</si>
  <si>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</si>
  <si>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</si>
  <si>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</si>
  <si>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</si>
  <si>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</si>
  <si>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</si>
  <si>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</si>
  <si>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</si>
  <si>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</si>
  <si>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</si>
  <si>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</si>
  <si>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</si>
  <si>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</si>
  <si>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1399/12/26</t>
  </si>
  <si>
    <t>1399/09/30</t>
  </si>
  <si>
    <t>1399/12/20</t>
  </si>
  <si>
    <t>1399/12/25</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</si>
  <si>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</si>
  <si>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</si>
  <si>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</si>
  <si>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</si>
  <si>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</si>
  <si>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</si>
  <si>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</si>
  <si>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</si>
  <si>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</si>
  <si>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</si>
  <si>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</si>
  <si>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</si>
  <si>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</si>
  <si>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</si>
  <si>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</si>
  <si>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</si>
  <si>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</si>
  <si>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</si>
  <si>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</si>
  <si>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</si>
  <si>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</si>
  <si>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</si>
  <si>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</si>
  <si>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</si>
  <si>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</si>
  <si>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</si>
  <si>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18/2/1400</t>
  </si>
  <si>
    <t>10/2/1400</t>
  </si>
  <si>
    <t>21/2/1400</t>
  </si>
  <si>
    <t>29/2/1400</t>
  </si>
  <si>
    <t>برداشت اعتبار سارا</t>
  </si>
  <si>
    <t>واریز علی به حساب بورسی سارا</t>
  </si>
  <si>
    <t>تسفیه اعتبار سارا</t>
  </si>
  <si>
    <t>علی واریز به حساب سارا</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</si>
  <si>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</si>
  <si>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</si>
  <si>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</si>
  <si>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</si>
  <si>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</si>
  <si>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</si>
  <si>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</si>
  <si>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</si>
  <si>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</si>
  <si>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</si>
  <si>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</si>
  <si>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</si>
  <si>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</si>
  <si>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</si>
  <si>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</si>
  <si>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</si>
  <si>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</si>
  <si>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</si>
  <si>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</si>
  <si>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</si>
  <si>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</si>
  <si>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</si>
  <si>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</si>
  <si>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</si>
  <si>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</si>
  <si>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</si>
  <si>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</si>
  <si>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</si>
  <si>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</si>
  <si>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</si>
  <si>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</si>
  <si>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</si>
  <si>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</si>
  <si>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</si>
  <si>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</si>
  <si>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</si>
  <si>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</si>
  <si>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</si>
  <si>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</si>
  <si>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</si>
  <si>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</si>
  <si>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</si>
  <si>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</si>
  <si>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</si>
  <si>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</si>
  <si>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</si>
  <si>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</si>
  <si>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</si>
  <si>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</si>
  <si>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</si>
  <si>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</si>
  <si>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</si>
  <si>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</si>
  <si>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</si>
  <si>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</si>
  <si>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</si>
  <si>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</si>
  <si>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</si>
  <si>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</si>
  <si>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</si>
  <si>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</si>
  <si>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</si>
  <si>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</si>
  <si>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</si>
  <si>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</si>
  <si>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</si>
  <si>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</si>
  <si>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</si>
  <si>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</si>
  <si>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</si>
  <si>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</si>
  <si>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</si>
  <si>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</si>
  <si>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</si>
  <si>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</si>
  <si>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</si>
  <si>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</si>
  <si>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</si>
  <si>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</si>
  <si>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</si>
  <si>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</si>
  <si>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</si>
  <si>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</si>
  <si>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</si>
  <si>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</si>
  <si>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</si>
  <si>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</si>
  <si>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</si>
  <si>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</si>
  <si>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</si>
  <si>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</si>
  <si>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</si>
  <si>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</si>
  <si>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</si>
  <si>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</si>
  <si>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</si>
  <si>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</si>
  <si>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</si>
  <si>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</si>
  <si>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</si>
  <si>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</si>
  <si>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</si>
  <si>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</si>
  <si>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</si>
  <si>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</si>
  <si>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</si>
  <si>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</si>
  <si>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</si>
  <si>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</si>
  <si>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</si>
  <si>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</si>
  <si>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</si>
  <si>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</si>
  <si>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</si>
  <si>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</si>
  <si>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</si>
  <si>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</si>
  <si>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</si>
  <si>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</si>
  <si>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</si>
  <si>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</si>
  <si>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</si>
  <si>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</si>
  <si>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</si>
  <si>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</si>
  <si>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</si>
  <si>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</si>
  <si>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</si>
  <si>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</si>
  <si>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</si>
  <si>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</si>
  <si>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</si>
  <si>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</si>
  <si>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</si>
  <si>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</si>
  <si>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</si>
  <si>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</si>
  <si>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</si>
  <si>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</si>
  <si>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</si>
  <si>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</si>
  <si>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</si>
  <si>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</si>
  <si>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</si>
  <si>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</si>
  <si>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</si>
  <si>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</si>
  <si>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</si>
  <si>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</si>
  <si>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</si>
  <si>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</si>
  <si>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</si>
  <si>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</si>
  <si>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</si>
  <si>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</si>
  <si>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</si>
  <si>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</si>
  <si>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</si>
  <si>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</si>
  <si>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</si>
  <si>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</si>
  <si>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</si>
  <si>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</si>
  <si>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</si>
  <si>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</si>
  <si>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</si>
  <si>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</si>
  <si>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</si>
  <si>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</si>
  <si>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</si>
  <si>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</si>
  <si>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</si>
  <si>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</si>
  <si>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</si>
  <si>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</si>
  <si>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</si>
  <si>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</si>
  <si>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</si>
  <si>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</si>
  <si>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19/5/1400</t>
  </si>
  <si>
    <t>ومهان 356260 تا 1388</t>
  </si>
  <si>
    <t>20/5/1400</t>
  </si>
  <si>
    <t>سود ومهان علی و مریم</t>
  </si>
  <si>
    <t>سود ومهان سارا</t>
  </si>
  <si>
    <t>EPS</t>
  </si>
  <si>
    <t>سود نقدی وغدیر</t>
  </si>
  <si>
    <t>24/5/1400</t>
  </si>
  <si>
    <t>طلب ریالی از سارا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</si>
  <si>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</si>
  <si>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</si>
  <si>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</si>
  <si>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</si>
  <si>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</si>
  <si>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</si>
  <si>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</si>
  <si>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</si>
  <si>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</si>
  <si>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</si>
  <si>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</si>
  <si>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</si>
  <si>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</si>
  <si>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</si>
  <si>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</si>
  <si>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</si>
  <si>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</si>
  <si>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</si>
  <si>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</si>
  <si>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</si>
  <si>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</si>
  <si>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</si>
  <si>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</si>
  <si>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</si>
  <si>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</si>
  <si>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</si>
  <si>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</si>
  <si>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</si>
  <si>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</si>
  <si>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</si>
  <si>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</si>
  <si>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</si>
  <si>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</si>
  <si>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</si>
  <si>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</si>
  <si>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</si>
  <si>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</si>
  <si>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</si>
  <si>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</si>
  <si>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</si>
  <si>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</si>
  <si>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</si>
  <si>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</si>
  <si>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</si>
  <si>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</si>
  <si>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</si>
  <si>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</si>
  <si>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</si>
  <si>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</si>
  <si>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</si>
  <si>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</si>
  <si>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</si>
  <si>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</si>
  <si>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</si>
  <si>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</si>
  <si>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</si>
  <si>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</si>
  <si>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</si>
  <si>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</si>
  <si>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</si>
  <si>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</si>
  <si>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</si>
  <si>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</si>
  <si>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</si>
  <si>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</si>
  <si>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</si>
  <si>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</si>
  <si>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</si>
  <si>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</si>
  <si>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</si>
  <si>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</si>
  <si>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</si>
  <si>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</si>
  <si>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</si>
  <si>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</si>
  <si>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</si>
  <si>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</si>
  <si>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</si>
  <si>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</si>
  <si>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</si>
  <si>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</si>
  <si>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</si>
  <si>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</si>
  <si>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</si>
  <si>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</si>
  <si>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</si>
  <si>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</si>
  <si>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</si>
  <si>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</si>
  <si>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</si>
  <si>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</si>
  <si>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</si>
  <si>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</si>
  <si>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</si>
  <si>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</si>
  <si>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</si>
  <si>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</si>
  <si>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</si>
  <si>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</si>
  <si>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</si>
  <si>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</si>
  <si>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</si>
  <si>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</si>
  <si>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</si>
  <si>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</si>
  <si>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</si>
  <si>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</si>
  <si>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</si>
  <si>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</si>
  <si>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</si>
  <si>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</si>
  <si>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</si>
  <si>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</si>
  <si>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</si>
  <si>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</si>
  <si>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</si>
  <si>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</si>
  <si>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</si>
  <si>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</si>
  <si>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</si>
  <si>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</si>
  <si>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</si>
  <si>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</si>
  <si>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</si>
  <si>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</si>
  <si>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</si>
  <si>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</si>
  <si>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</si>
  <si>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</si>
  <si>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</si>
  <si>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</si>
  <si>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</si>
  <si>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</si>
  <si>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</si>
  <si>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</si>
  <si>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</si>
  <si>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</si>
  <si>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</si>
  <si>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</si>
  <si>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</si>
  <si>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</si>
  <si>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</si>
  <si>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</si>
  <si>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</si>
  <si>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</si>
  <si>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</si>
  <si>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</si>
  <si>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</si>
  <si>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</si>
  <si>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</si>
  <si>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</si>
  <si>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</si>
  <si>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</si>
  <si>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</si>
  <si>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</si>
  <si>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</si>
  <si>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</si>
  <si>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</si>
  <si>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</si>
  <si>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</si>
  <si>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</si>
  <si>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</si>
  <si>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</si>
  <si>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</si>
  <si>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</si>
  <si>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</si>
  <si>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</si>
  <si>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</si>
  <si>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</si>
  <si>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</si>
  <si>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</si>
  <si>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</si>
  <si>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</si>
  <si>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</si>
  <si>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</si>
  <si>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</si>
  <si>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</si>
  <si>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</si>
  <si>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</si>
  <si>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</si>
  <si>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</si>
  <si>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</si>
  <si>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</si>
  <si>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</si>
  <si>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</si>
  <si>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</si>
  <si>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</si>
  <si>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</si>
  <si>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</si>
  <si>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</si>
  <si>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</si>
  <si>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</si>
  <si>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</si>
  <si>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</si>
  <si>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</si>
  <si>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</si>
  <si>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</si>
  <si>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</si>
  <si>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</si>
  <si>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</si>
  <si>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</si>
  <si>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</si>
  <si>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</si>
  <si>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</si>
  <si>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</si>
  <si>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</si>
  <si>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</si>
  <si>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</si>
  <si>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</si>
  <si>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</si>
  <si>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</si>
  <si>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</si>
  <si>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</si>
  <si>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</si>
  <si>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</si>
  <si>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</si>
  <si>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</si>
  <si>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</si>
  <si>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</si>
  <si>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</si>
  <si>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</si>
  <si>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</si>
  <si>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</si>
  <si>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</si>
  <si>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</si>
  <si>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</si>
  <si>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</si>
  <si>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</si>
  <si>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</si>
  <si>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</si>
  <si>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</si>
  <si>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</si>
  <si>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</si>
  <si>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</si>
  <si>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</si>
  <si>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</si>
  <si>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</si>
  <si>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</si>
  <si>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</si>
  <si>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</si>
  <si>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</si>
  <si>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</si>
  <si>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</si>
  <si>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</si>
  <si>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</si>
  <si>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</si>
  <si>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</si>
  <si>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</si>
  <si>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</si>
  <si>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</si>
  <si>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</si>
  <si>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</si>
  <si>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</si>
  <si>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</si>
  <si>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</si>
  <si>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</si>
  <si>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</si>
  <si>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</si>
  <si>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</si>
  <si>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</si>
  <si>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</si>
  <si>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</si>
  <si>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</si>
  <si>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</si>
  <si>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</si>
  <si>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</si>
  <si>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</si>
  <si>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</si>
  <si>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</si>
  <si>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</si>
  <si>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</si>
  <si>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</si>
  <si>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</si>
  <si>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</si>
  <si>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</si>
  <si>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</si>
  <si>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</si>
  <si>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</si>
  <si>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</si>
  <si>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</si>
  <si>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</si>
  <si>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</si>
  <si>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</si>
  <si>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</si>
  <si>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</si>
  <si>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</si>
  <si>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</si>
  <si>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</si>
  <si>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</si>
  <si>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</si>
  <si>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</si>
  <si>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</si>
  <si>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</si>
  <si>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</si>
  <si>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</si>
  <si>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</si>
  <si>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</si>
  <si>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</si>
  <si>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</si>
  <si>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</si>
  <si>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</si>
  <si>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</si>
  <si>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</si>
  <si>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</si>
  <si>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</si>
  <si>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</si>
  <si>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</si>
  <si>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21/6/1400</t>
  </si>
  <si>
    <t>23/6/1400</t>
  </si>
  <si>
    <t>ومهان 93469 تا 1555</t>
  </si>
  <si>
    <t>30/6/1400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</si>
  <si>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</si>
  <si>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</si>
  <si>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</si>
  <si>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</si>
  <si>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</si>
  <si>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</si>
  <si>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</si>
  <si>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</si>
  <si>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</si>
  <si>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</si>
  <si>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</si>
  <si>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</si>
  <si>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</si>
  <si>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</si>
  <si>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</si>
  <si>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</si>
  <si>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</si>
  <si>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</si>
  <si>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</si>
  <si>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</si>
  <si>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</si>
  <si>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</si>
  <si>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</si>
  <si>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</si>
  <si>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</si>
  <si>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</si>
  <si>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</si>
  <si>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</si>
  <si>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</si>
  <si>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</si>
  <si>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</si>
  <si>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</si>
  <si>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</si>
  <si>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</si>
  <si>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</si>
  <si>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27/7/1400</t>
  </si>
  <si>
    <t>1/8/1400</t>
  </si>
  <si>
    <t>3/8/1400</t>
  </si>
  <si>
    <t>unknown</t>
  </si>
  <si>
    <t>10/7/1400</t>
  </si>
  <si>
    <t>mobina</t>
  </si>
  <si>
    <t>gg</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</si>
  <si>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</si>
  <si>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</si>
  <si>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</si>
  <si>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</si>
  <si>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</si>
  <si>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</si>
  <si>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</si>
  <si>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</si>
  <si>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</si>
  <si>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</si>
  <si>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</si>
  <si>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</si>
  <si>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</si>
  <si>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وغدیر 88178 تا 1302</t>
  </si>
  <si>
    <t>بیمه 206 سفید 10/8/1400</t>
  </si>
  <si>
    <t>12/8/1400</t>
  </si>
  <si>
    <t>وغدیر 65644 تا 1500</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</si>
  <si>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</si>
  <si>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</si>
  <si>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</si>
  <si>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</si>
  <si>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</si>
  <si>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</si>
  <si>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</si>
  <si>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</si>
  <si>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</si>
  <si>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</si>
  <si>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</si>
  <si>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</si>
  <si>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</si>
  <si>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</si>
  <si>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</si>
  <si>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</si>
  <si>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</si>
  <si>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</si>
  <si>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</si>
  <si>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</si>
  <si>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</si>
  <si>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</si>
  <si>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</si>
  <si>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</si>
  <si>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</si>
  <si>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</si>
  <si>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</si>
  <si>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</si>
  <si>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</si>
  <si>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</si>
  <si>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</si>
  <si>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</si>
  <si>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</si>
  <si>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</si>
  <si>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</si>
  <si>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</si>
  <si>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</si>
  <si>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</si>
  <si>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</si>
  <si>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</si>
  <si>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</si>
  <si>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</si>
  <si>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</si>
  <si>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</si>
  <si>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</si>
  <si>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</si>
  <si>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</si>
  <si>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</si>
  <si>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</si>
  <si>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</si>
  <si>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</si>
  <si>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</si>
  <si>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</si>
  <si>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</si>
  <si>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</si>
  <si>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</si>
  <si>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</si>
  <si>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</si>
  <si>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</si>
  <si>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25/8/1400</t>
  </si>
  <si>
    <t>برلیانس 330</t>
  </si>
  <si>
    <t>byd s6</t>
  </si>
  <si>
    <t>tiggo 5</t>
  </si>
  <si>
    <t>tiggo 7</t>
  </si>
  <si>
    <t>Arizo 5</t>
  </si>
  <si>
    <t>H30 cross</t>
  </si>
  <si>
    <t>Bestturn b30</t>
  </si>
  <si>
    <t>Foto Savana</t>
  </si>
  <si>
    <t>haima s7</t>
  </si>
  <si>
    <t>hava h2</t>
  </si>
  <si>
    <t>jac s5</t>
  </si>
  <si>
    <t>fidelity</t>
  </si>
  <si>
    <t>zooty z300</t>
  </si>
  <si>
    <t>سود تلفیقی 1400</t>
  </si>
  <si>
    <t>2/9/1400</t>
  </si>
  <si>
    <t>m16705934-53752848*</t>
  </si>
  <si>
    <t>3/9/1400</t>
  </si>
  <si>
    <t>6/9/1400</t>
  </si>
  <si>
    <t>1/6/1400</t>
  </si>
  <si>
    <t>8/9/1400</t>
  </si>
  <si>
    <t>وغدیر 126426 تا 1420</t>
  </si>
  <si>
    <t>9/9/1400</t>
  </si>
  <si>
    <t>13/9/1400</t>
  </si>
  <si>
    <t>واریز به حساب بورسی</t>
  </si>
  <si>
    <t>سارا واریز به حساب</t>
  </si>
  <si>
    <t>ومهان 2217 تا 436.6</t>
  </si>
  <si>
    <t>وغدیر 4518 تا 1396</t>
  </si>
  <si>
    <t>17/9/1400</t>
  </si>
  <si>
    <t>وغدیر 50767 تا 1439</t>
  </si>
  <si>
    <t>28/9/1400</t>
  </si>
  <si>
    <t>وغدیر 9610 تا 1427</t>
  </si>
  <si>
    <t>29/9/1400</t>
  </si>
  <si>
    <t>ومهان 3179 تا 539</t>
  </si>
  <si>
    <t>30/9/1400</t>
  </si>
  <si>
    <t>طلب علی نوسانگیری</t>
  </si>
  <si>
    <t>با فزایش سرمایه پترول 23 تا 28 درصد قیمت وغدیر</t>
  </si>
  <si>
    <t>پول نقد ایلیا</t>
  </si>
  <si>
    <t>وغدیر حساب ایلیا</t>
  </si>
  <si>
    <t>ومهان حساب ایلیا</t>
  </si>
  <si>
    <t>5/10/1400</t>
  </si>
  <si>
    <t>تا الان 5000 تا فروختم 1529 و سکه خریدم 12.8</t>
  </si>
  <si>
    <t>6/10/1400</t>
  </si>
  <si>
    <t>مازاد سکه</t>
  </si>
  <si>
    <t>7/10/1400</t>
  </si>
  <si>
    <t>تعداد کل سهام</t>
  </si>
  <si>
    <t>دارایی شپدیس به صورت تلفیقی</t>
  </si>
  <si>
    <t>ارزش بازار تلفیقی</t>
  </si>
  <si>
    <t>ارزش دارایی به ازا هر سهم</t>
  </si>
  <si>
    <t>سود تلفیقی سال 1400 با 2134 تومن سود شپدیس</t>
  </si>
  <si>
    <t>سود 1400</t>
  </si>
  <si>
    <t>سود 1401</t>
  </si>
  <si>
    <t>سود تلفیقی سال 1401 با 4000 تومن سود شپدیس</t>
  </si>
  <si>
    <t>طلب علی 1 سکه 8479 وغدیر</t>
  </si>
  <si>
    <t>ومهان 171377 تا 432</t>
  </si>
  <si>
    <t>12/10/1400</t>
  </si>
  <si>
    <t>(--user-data-dir</t>
  </si>
  <si>
    <t>16/10/1400</t>
  </si>
  <si>
    <t>20/10/1400</t>
  </si>
  <si>
    <t>ومهان 141 تا 432</t>
  </si>
  <si>
    <t>22/10/1400</t>
  </si>
  <si>
    <t>ومهان 114123 تا 422</t>
  </si>
  <si>
    <t>ومهان 15466 تا 411</t>
  </si>
  <si>
    <t>28/10/1400</t>
  </si>
  <si>
    <t>اعتبار 200 میلیون تومن</t>
  </si>
  <si>
    <t>29/10/1400</t>
  </si>
  <si>
    <t>ومهان 32558 تا 400</t>
  </si>
  <si>
    <t>2/11/1400</t>
  </si>
  <si>
    <t>3/11/1400</t>
  </si>
  <si>
    <t>بدهی به مهدی دستی 3/11/1400</t>
  </si>
  <si>
    <t>a48899660-357315420**</t>
  </si>
  <si>
    <t xml:space="preserve">علی اعتبار 200 میلیونی 158768 تا وغدیر </t>
  </si>
  <si>
    <t>5/11/1400</t>
  </si>
  <si>
    <t>ومهان 41934 تا 395</t>
  </si>
  <si>
    <t>بدهی 43 میلیون معادل 40375 تا وغدیر یا 3.96 تا سکه، حداقل سود بانکی یا تعداد سکه بعلاوه نصف سود بیشتر از وغدیر</t>
  </si>
  <si>
    <t>8/11/1400</t>
  </si>
  <si>
    <t>11/11/1400</t>
  </si>
  <si>
    <t>علی نوسنگیری طی دی ماه و بخشی از سکه</t>
  </si>
  <si>
    <t>18/11/1400</t>
  </si>
  <si>
    <t>24/11/1400</t>
  </si>
  <si>
    <t>https://player.arvancloud.com/index.html?config=https://classiran.arvanlive.com/vasepah/origin_config.json</t>
  </si>
  <si>
    <t>طلب نصف 43 قسط وام 50 میلیونی 23/11/1400</t>
  </si>
  <si>
    <t>سود تقسیمی برای وسپه 1400</t>
  </si>
  <si>
    <t>14/12/1400</t>
  </si>
  <si>
    <t>ومهان 168884 تا 400</t>
  </si>
  <si>
    <t>15/12/1400</t>
  </si>
  <si>
    <t>ومهان 318991 تا 405</t>
  </si>
  <si>
    <t>ومهان 110761 تا 405</t>
  </si>
  <si>
    <t>16/12/1400</t>
  </si>
  <si>
    <t>ومهان 870463 تا 419</t>
  </si>
  <si>
    <t>17/12/1400</t>
  </si>
  <si>
    <t>ومهان 73325 تا 418</t>
  </si>
  <si>
    <t>ومهان 310076 تا 410</t>
  </si>
  <si>
    <t>علی از حاج خانوم طلب داشت</t>
  </si>
  <si>
    <t>حاج خانوم پول وکیل</t>
  </si>
  <si>
    <t>پول وکیل</t>
  </si>
  <si>
    <t>18/12/1400</t>
  </si>
  <si>
    <t>ومهان 474047 تا 415</t>
  </si>
  <si>
    <t>برآورد EPS شرکت زیر مجموعه 1401</t>
  </si>
  <si>
    <t>1400 eps</t>
  </si>
  <si>
    <t>1400 dps</t>
  </si>
  <si>
    <t>1401 eps</t>
  </si>
  <si>
    <t>بخشی از دارایی های وکغدیر</t>
  </si>
  <si>
    <t>فولاژ</t>
  </si>
  <si>
    <t>فولاد غدیر نیریز</t>
  </si>
  <si>
    <t>فولاد غدیر ایرانیان</t>
  </si>
  <si>
    <t>وکغدیر</t>
  </si>
  <si>
    <t>موتوژن</t>
  </si>
  <si>
    <t>توسعه آهن و فولاد گلگهر</t>
  </si>
  <si>
    <t>eps 1401</t>
  </si>
  <si>
    <t>بموتو</t>
  </si>
  <si>
    <t>سود تلفیقی به ازا هر سهم وکغدیر</t>
  </si>
  <si>
    <t>21/12/1400</t>
  </si>
  <si>
    <t>ومهان 119646 تا 406.5</t>
  </si>
  <si>
    <t>وغدیر 89710 تا 1437</t>
  </si>
  <si>
    <t>ومهان 2912 تا 407.1</t>
  </si>
  <si>
    <t>وغدیر 15623 تا 1426</t>
  </si>
  <si>
    <t>قیمت سهم در زمان پرداخت سود</t>
  </si>
  <si>
    <t xml:space="preserve">مریم </t>
  </si>
  <si>
    <t>سود سهام مریم</t>
  </si>
  <si>
    <t>سود سهام سارا</t>
  </si>
  <si>
    <t>سود سهام علی</t>
  </si>
  <si>
    <t>سود وغدیر به قیمت</t>
  </si>
  <si>
    <t xml:space="preserve">افزایش سرمایه پارس بعلاوه 1 </t>
  </si>
  <si>
    <t>بدهی به مریم 23/12/1400 معادل 22 گرم طلا</t>
  </si>
  <si>
    <t>بدهی به مهدی 23/12/1400</t>
  </si>
  <si>
    <t>24/12/1400</t>
  </si>
  <si>
    <t>پول نقد</t>
  </si>
  <si>
    <t>قیمت سر به سر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</si>
</sst>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8">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4">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72">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1"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2"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3"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4"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5" fillId="6" borderId="0" xfId="0" applyFont="1" applyFill="1" applyBorder="1"/>
    <xf numFmtId="0" fontId="0" fillId="35" borderId="1" xfId="0" applyFill="1" applyBorder="1"/>
    <xf numFmtId="0" fontId="16"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7" fillId="25" borderId="1" xfId="0" applyFont="1" applyFill="1" applyBorder="1" applyAlignment="1">
      <alignment horizontal="center"/>
    </xf>
    <xf numFmtId="164" fontId="17" fillId="25" borderId="1" xfId="0" applyNumberFormat="1" applyFont="1" applyFill="1" applyBorder="1" applyAlignment="1">
      <alignment horizontal="center"/>
    </xf>
    <xf numFmtId="164" fontId="17"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18"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5" fillId="27" borderId="1" xfId="0" applyNumberFormat="1" applyFont="1" applyFill="1" applyBorder="1" applyAlignment="1">
      <alignment horizontal="center"/>
    </xf>
    <xf numFmtId="164" fontId="15"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19" fillId="8" borderId="0" xfId="0" applyFont="1" applyFill="1"/>
    <xf numFmtId="0" fontId="21"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5" fillId="8" borderId="1" xfId="0" applyNumberFormat="1" applyFont="1" applyFill="1" applyBorder="1" applyAlignment="1">
      <alignment horizontal="center"/>
    </xf>
    <xf numFmtId="164" fontId="15"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5" fillId="36" borderId="1" xfId="0" applyNumberFormat="1" applyFont="1" applyFill="1" applyBorder="1" applyAlignment="1">
      <alignment horizontal="center"/>
    </xf>
    <xf numFmtId="164" fontId="0" fillId="0" borderId="1" xfId="0" applyNumberFormat="1" applyFont="1" applyBorder="1" applyAlignment="1">
      <alignment horizontal="center"/>
    </xf>
    <xf numFmtId="0" fontId="22"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2"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5" fillId="16" borderId="1" xfId="0" applyNumberFormat="1" applyFont="1" applyFill="1" applyBorder="1" applyAlignment="1">
      <alignment horizontal="center"/>
    </xf>
    <xf numFmtId="164" fontId="15" fillId="10" borderId="1" xfId="0" applyNumberFormat="1" applyFont="1" applyFill="1" applyBorder="1" applyAlignment="1">
      <alignment horizontal="center"/>
    </xf>
    <xf numFmtId="0" fontId="0" fillId="10" borderId="1" xfId="0" applyFill="1" applyBorder="1"/>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3" fillId="22" borderId="1" xfId="0" applyFont="1" applyFill="1" applyBorder="1" applyAlignment="1">
      <alignment horizontal="center"/>
    </xf>
    <xf numFmtId="164" fontId="23" fillId="22" borderId="1" xfId="0" applyNumberFormat="1" applyFont="1" applyFill="1" applyBorder="1" applyAlignment="1">
      <alignment horizontal="center" vertical="center"/>
    </xf>
    <xf numFmtId="0" fontId="0" fillId="0" borderId="0" xfId="0"/>
    <xf numFmtId="164" fontId="24" fillId="22" borderId="1" xfId="0" applyNumberFormat="1" applyFont="1" applyFill="1" applyBorder="1" applyAlignment="1">
      <alignment horizontal="center" vertical="center"/>
    </xf>
    <xf numFmtId="0" fontId="24" fillId="22" borderId="1" xfId="0"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21" borderId="1" xfId="0" applyFill="1" applyBorder="1" applyAlignment="1">
      <alignment horizontal="center"/>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0"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19"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5"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4" fillId="0" borderId="0" xfId="0" applyFont="1" applyBorder="1" applyAlignment="1">
      <alignment horizontal="center" vertical="center"/>
    </xf>
    <xf numFmtId="164" fontId="24"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19" fillId="40" borderId="1" xfId="0" applyFont="1" applyFill="1" applyBorder="1" applyAlignment="1">
      <alignment horizontal="center" vertical="center"/>
    </xf>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3"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3"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3" fillId="32" borderId="1" xfId="0" applyFont="1" applyFill="1" applyBorder="1" applyAlignment="1">
      <alignment horizontal="center" vertical="center"/>
    </xf>
    <xf numFmtId="0" fontId="0" fillId="0" borderId="0" xfId="0"/>
    <xf numFmtId="0" fontId="0" fillId="0" borderId="0" xfId="0"/>
    <xf numFmtId="0" fontId="0" fillId="0" borderId="0" xfId="0"/>
    <xf numFmtId="0" fontId="25" fillId="32" borderId="1" xfId="0" applyFont="1" applyFill="1" applyBorder="1" applyAlignment="1">
      <alignment horizontal="center" vertical="center"/>
    </xf>
    <xf numFmtId="0" fontId="0" fillId="0" borderId="0" xfId="0"/>
    <xf numFmtId="0" fontId="0" fillId="0" borderId="0" xfId="0"/>
    <xf numFmtId="0" fontId="0" fillId="42" borderId="1" xfId="0" applyFill="1" applyBorder="1" applyAlignment="1">
      <alignment horizontal="center" vertical="center"/>
    </xf>
    <xf numFmtId="164" fontId="15" fillId="42" borderId="1" xfId="0" applyNumberFormat="1" applyFont="1" applyFill="1" applyBorder="1" applyAlignment="1">
      <alignment horizontal="center"/>
    </xf>
    <xf numFmtId="0" fontId="19" fillId="41" borderId="1" xfId="0" applyFont="1" applyFill="1" applyBorder="1" applyAlignment="1">
      <alignment horizontal="center" vertical="center"/>
    </xf>
    <xf numFmtId="0" fontId="0" fillId="0" borderId="0" xfId="0"/>
    <xf numFmtId="0" fontId="0" fillId="0" borderId="0" xfId="0"/>
    <xf numFmtId="3" fontId="26" fillId="43" borderId="9" xfId="0" applyNumberFormat="1" applyFont="1" applyFill="1" applyBorder="1" applyAlignment="1">
      <alignment horizontal="center" vertical="center"/>
    </xf>
    <xf numFmtId="3" fontId="26" fillId="43" borderId="9" xfId="0" applyNumberFormat="1" applyFont="1" applyFill="1" applyBorder="1" applyAlignment="1">
      <alignment vertical="center"/>
    </xf>
    <xf numFmtId="0" fontId="27" fillId="43" borderId="9" xfId="0" applyFont="1" applyFill="1" applyBorder="1" applyAlignment="1">
      <alignment vertical="center"/>
    </xf>
    <xf numFmtId="10" fontId="27" fillId="43" borderId="9" xfId="0" applyNumberFormat="1" applyFont="1" applyFill="1" applyBorder="1" applyAlignment="1">
      <alignment vertical="center"/>
    </xf>
    <xf numFmtId="14" fontId="26" fillId="43" borderId="9" xfId="0" applyNumberFormat="1" applyFont="1" applyFill="1" applyBorder="1" applyAlignment="1">
      <alignment vertical="center"/>
    </xf>
    <xf numFmtId="0" fontId="26" fillId="43" borderId="9" xfId="0" applyFont="1" applyFill="1" applyBorder="1" applyAlignment="1">
      <alignment vertical="center"/>
    </xf>
    <xf numFmtId="3" fontId="26" fillId="24" borderId="10" xfId="0" applyNumberFormat="1" applyFont="1" applyFill="1" applyBorder="1" applyAlignment="1">
      <alignment horizontal="center" vertical="center"/>
    </xf>
    <xf numFmtId="3" fontId="26" fillId="24" borderId="10" xfId="0" applyNumberFormat="1" applyFont="1" applyFill="1" applyBorder="1" applyAlignment="1">
      <alignment vertical="center"/>
    </xf>
    <xf numFmtId="0" fontId="27" fillId="24" borderId="10" xfId="0" applyFont="1" applyFill="1" applyBorder="1" applyAlignment="1">
      <alignment vertical="center"/>
    </xf>
    <xf numFmtId="10" fontId="27" fillId="24" borderId="10" xfId="0" applyNumberFormat="1" applyFont="1" applyFill="1" applyBorder="1" applyAlignment="1">
      <alignment vertical="center"/>
    </xf>
    <xf numFmtId="14" fontId="26" fillId="24" borderId="10" xfId="0" applyNumberFormat="1" applyFont="1" applyFill="1" applyBorder="1" applyAlignment="1">
      <alignment vertical="center"/>
    </xf>
    <xf numFmtId="0" fontId="26" fillId="24" borderId="10" xfId="0" applyFont="1" applyFill="1" applyBorder="1" applyAlignment="1">
      <alignment vertical="center"/>
    </xf>
    <xf numFmtId="3" fontId="26" fillId="43" borderId="11" xfId="0" applyNumberFormat="1" applyFont="1" applyFill="1" applyBorder="1" applyAlignment="1">
      <alignment horizontal="center" vertical="center"/>
    </xf>
    <xf numFmtId="3" fontId="26" fillId="43" borderId="11" xfId="0" applyNumberFormat="1" applyFont="1" applyFill="1" applyBorder="1" applyAlignment="1">
      <alignment vertical="center"/>
    </xf>
    <xf numFmtId="0" fontId="27" fillId="43" borderId="11" xfId="0" applyFont="1" applyFill="1" applyBorder="1" applyAlignment="1">
      <alignment vertical="center"/>
    </xf>
    <xf numFmtId="10" fontId="27" fillId="43" borderId="11" xfId="0" applyNumberFormat="1" applyFont="1" applyFill="1" applyBorder="1" applyAlignment="1">
      <alignment vertical="center"/>
    </xf>
    <xf numFmtId="14" fontId="26" fillId="43" borderId="11" xfId="0" applyNumberFormat="1" applyFont="1" applyFill="1" applyBorder="1" applyAlignment="1">
      <alignment vertical="center"/>
    </xf>
    <xf numFmtId="0" fontId="26" fillId="43" borderId="11" xfId="0" applyFont="1" applyFill="1" applyBorder="1" applyAlignment="1">
      <alignment vertical="center"/>
    </xf>
    <xf numFmtId="0" fontId="0" fillId="0" borderId="0" xfId="0"/>
    <xf numFmtId="0" fontId="0" fillId="0" borderId="0" xfId="0"/>
    <xf numFmtId="16" fontId="0" fillId="10" borderId="1" xfId="0" applyNumberFormat="1" applyFill="1" applyBorder="1"/>
    <xf numFmtId="0" fontId="0" fillId="39" borderId="1" xfId="0" applyFill="1" applyBorder="1" applyAlignment="1">
      <alignment horizontal="center"/>
    </xf>
    <xf numFmtId="0" fontId="0" fillId="39" borderId="5" xfId="0"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1" xfId="0" applyBorder="1" applyAlignment="1">
      <alignment horizontal="center" vertical="top"/>
    </xf>
    <xf numFmtId="0" fontId="0" fillId="0" borderId="0" xfId="0" applyAlignment="1">
      <alignment vertical="top"/>
    </xf>
    <xf numFmtId="0" fontId="0" fillId="0" borderId="1" xfId="0" applyBorder="1" applyAlignment="1">
      <alignment vertical="top"/>
    </xf>
    <xf numFmtId="0" fontId="0" fillId="0" borderId="1" xfId="0" applyBorder="1" applyAlignment="1">
      <alignment vertical="top" wrapText="1"/>
    </xf>
    <xf numFmtId="3" fontId="8" fillId="41" borderId="1" xfId="0" applyNumberFormat="1" applyFont="1" applyFill="1" applyBorder="1" applyAlignment="1">
      <alignment horizontal="center" vertical="top"/>
    </xf>
    <xf numFmtId="0" fontId="0" fillId="0" borderId="1" xfId="0" applyFill="1" applyBorder="1" applyAlignment="1">
      <alignment vertical="top" wrapText="1"/>
    </xf>
    <xf numFmtId="0" fontId="0" fillId="0" borderId="0" xfId="0"/>
    <xf numFmtId="0" fontId="0" fillId="0" borderId="0" xfId="0"/>
    <xf numFmtId="0" fontId="0" fillId="38" borderId="1" xfId="0" applyFill="1" applyBorder="1" applyAlignment="1"/>
    <xf numFmtId="0" fontId="0" fillId="0" borderId="0" xfId="0"/>
    <xf numFmtId="0" fontId="0" fillId="0" borderId="0" xfId="0"/>
    <xf numFmtId="16" fontId="0" fillId="10" borderId="1" xfId="0" applyNumberFormat="1" applyFill="1" applyBorder="1" applyAlignment="1">
      <alignment horizontal="center" vertical="center"/>
    </xf>
    <xf numFmtId="0" fontId="0" fillId="5" borderId="1" xfId="0" applyFill="1" applyBorder="1" applyAlignment="1"/>
    <xf numFmtId="4" fontId="0" fillId="10" borderId="1" xfId="0" applyNumberForma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20" borderId="1" xfId="0" applyNumberFormat="1" applyFill="1" applyBorder="1" applyAlignment="1">
      <alignment horizontal="center" vertical="center"/>
    </xf>
    <xf numFmtId="0" fontId="0" fillId="0" borderId="0" xfId="0"/>
    <xf numFmtId="0" fontId="0" fillId="0" borderId="0" xfId="0"/>
    <xf numFmtId="16" fontId="0" fillId="0" borderId="1" xfId="0" applyNumberFormat="1" applyBorder="1" applyAlignment="1">
      <alignment horizontal="center"/>
    </xf>
    <xf numFmtId="0" fontId="0" fillId="0" borderId="3" xfId="0" applyFill="1" applyBorder="1" applyAlignment="1">
      <alignment horizontal="center" vertical="center"/>
    </xf>
    <xf numFmtId="0" fontId="0" fillId="0" borderId="0" xfId="0"/>
    <xf numFmtId="0" fontId="0" fillId="0" borderId="0" xfId="0"/>
    <xf numFmtId="0" fontId="0" fillId="0" borderId="5" xfId="0" applyBorder="1" applyAlignment="1">
      <alignment horizontal="center" vertical="center"/>
    </xf>
    <xf numFmtId="0" fontId="0" fillId="0" borderId="7" xfId="0" applyBorder="1" applyAlignment="1">
      <alignment horizontal="center"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16" fontId="0" fillId="10" borderId="0" xfId="0" applyNumberFormat="1" applyFill="1" applyBorder="1"/>
    <xf numFmtId="0" fontId="0" fillId="10" borderId="0" xfId="0" applyFill="1" applyBorder="1"/>
    <xf numFmtId="164" fontId="0" fillId="10" borderId="0" xfId="0" applyNumberFormat="1" applyFill="1" applyBorder="1" applyAlignment="1">
      <alignment horizontal="center"/>
    </xf>
    <xf numFmtId="0" fontId="0" fillId="39" borderId="0" xfId="0" applyFill="1" applyBorder="1"/>
    <xf numFmtId="164" fontId="0" fillId="39" borderId="0" xfId="0" applyNumberFormat="1" applyFill="1" applyBorder="1" applyAlignment="1">
      <alignment horizontal="center"/>
    </xf>
    <xf numFmtId="0" fontId="0" fillId="39" borderId="0" xfId="0" applyFill="1" applyBorder="1" applyAlignment="1">
      <alignment horizontal="center"/>
    </xf>
    <xf numFmtId="0" fontId="0" fillId="5" borderId="0" xfId="0" applyFill="1" applyBorder="1"/>
  </cellXfs>
  <cellStyles count="4">
    <cellStyle name="Hyperlink" xfId="1" builtinId="8"/>
    <cellStyle name="Normal" xfId="0" builtinId="0"/>
    <cellStyle name="Normal 2" xfId="3"/>
    <cellStyle name="Normal 3" xfId="2"/>
  </cellStyles>
  <dxfs count="1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theme" Target="theme/theme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0.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62.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63.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6431</v>
      </c>
      <c r="C1" s="40" t="s">
        <v>1329</v>
      </c>
      <c r="D1" s="40" t="s">
        <v>1330</v>
      </c>
      <c r="E1" s="40" t="s">
        <v>6430</v>
      </c>
      <c r="F1" s="40" t="s">
        <v>6429</v>
      </c>
      <c r="G1" s="40" t="s">
        <v>1331</v>
      </c>
      <c r="H1" s="40" t="s">
        <v>1332</v>
      </c>
      <c r="I1" s="40"/>
      <c r="J1" s="364"/>
      <c r="K1" s="364"/>
      <c r="L1" s="368"/>
    </row>
    <row r="2" spans="1:15">
      <c r="A2" s="40"/>
      <c r="B2" s="40"/>
      <c r="C2" s="40"/>
      <c r="D2" s="40"/>
      <c r="E2" s="40"/>
      <c r="F2" s="40"/>
      <c r="G2" s="40"/>
      <c r="H2" s="40"/>
      <c r="I2" s="40"/>
      <c r="J2" s="399"/>
      <c r="K2" s="399"/>
      <c r="L2" s="368"/>
    </row>
    <row r="3" spans="1:15">
      <c r="A3" s="40"/>
      <c r="B3" s="40"/>
      <c r="C3" s="40"/>
      <c r="D3" s="40"/>
      <c r="E3" s="40"/>
      <c r="F3" s="40"/>
      <c r="G3" s="40"/>
      <c r="H3" s="40"/>
      <c r="I3" s="40"/>
      <c r="J3" s="399"/>
      <c r="K3" s="399"/>
      <c r="L3" s="368"/>
    </row>
    <row r="4" spans="1:15">
      <c r="A4" s="367">
        <v>271110</v>
      </c>
      <c r="B4" s="367">
        <v>269660</v>
      </c>
      <c r="C4" s="40"/>
      <c r="D4" s="40"/>
      <c r="E4" s="40"/>
      <c r="F4" s="40"/>
      <c r="G4" s="40"/>
      <c r="H4" s="40"/>
      <c r="I4" s="40"/>
      <c r="J4" s="364"/>
      <c r="K4" s="364"/>
      <c r="L4" s="368"/>
    </row>
    <row r="5" spans="1:15">
      <c r="A5" s="367">
        <v>271110</v>
      </c>
      <c r="B5" s="367">
        <v>270550</v>
      </c>
      <c r="C5" s="268">
        <v>281380</v>
      </c>
      <c r="D5" s="268">
        <v>280240</v>
      </c>
      <c r="E5">
        <v>330</v>
      </c>
      <c r="F5" s="137">
        <v>1.1999999999999999E-3</v>
      </c>
      <c r="G5" s="202">
        <v>44508</v>
      </c>
      <c r="H5" t="s">
        <v>6771</v>
      </c>
      <c r="I5" s="40" t="s">
        <v>6427</v>
      </c>
      <c r="L5" s="40" t="str">
        <f t="shared" ref="L5:L36" si="0">CONCATENATE("USD",I5,TEXT(G5,"yyyymmdd"),I5,A334,I5,C5,I5,B334,I5,D5,I5,"1,1,1")</f>
        <v>USD,20211108,279840,281380,279700,280240,1,1,1</v>
      </c>
      <c r="N5" s="341"/>
    </row>
    <row r="6" spans="1:15">
      <c r="A6" s="367">
        <v>272810</v>
      </c>
      <c r="B6" s="367">
        <v>270050</v>
      </c>
      <c r="C6" s="268">
        <v>280080</v>
      </c>
      <c r="D6" s="268">
        <v>279910</v>
      </c>
      <c r="E6">
        <v>1670</v>
      </c>
      <c r="F6" s="137">
        <v>6.0000000000000001E-3</v>
      </c>
      <c r="G6" s="202">
        <v>44507</v>
      </c>
      <c r="H6" t="s">
        <v>6772</v>
      </c>
      <c r="I6" s="40" t="s">
        <v>6427</v>
      </c>
      <c r="L6" s="40" t="str">
        <f t="shared" si="0"/>
        <v>USD,20211107,278010,280080,277200,279910,1,1,1</v>
      </c>
    </row>
    <row r="7" spans="1:15">
      <c r="A7" s="367">
        <v>270860</v>
      </c>
      <c r="B7" s="367">
        <v>270850</v>
      </c>
      <c r="C7" s="268">
        <v>279580</v>
      </c>
      <c r="D7" s="268">
        <v>278240</v>
      </c>
      <c r="E7">
        <v>1730</v>
      </c>
      <c r="F7" s="137">
        <v>6.3E-3</v>
      </c>
      <c r="G7" s="202">
        <v>44506</v>
      </c>
      <c r="H7" t="s">
        <v>6773</v>
      </c>
      <c r="I7" s="40" t="s">
        <v>6427</v>
      </c>
      <c r="L7" s="40" t="str">
        <f t="shared" si="0"/>
        <v>USD,20211106,283180,279580,283100,278240,1,1,1</v>
      </c>
    </row>
    <row r="8" spans="1:15">
      <c r="A8" s="367">
        <v>273310</v>
      </c>
      <c r="B8" s="367">
        <v>270050</v>
      </c>
      <c r="C8" s="268">
        <v>277280</v>
      </c>
      <c r="D8" s="268">
        <v>276510</v>
      </c>
      <c r="E8">
        <v>2460</v>
      </c>
      <c r="F8" s="137">
        <v>8.8999999999999999E-3</v>
      </c>
      <c r="G8" s="202">
        <v>44504</v>
      </c>
      <c r="H8" t="s">
        <v>6774</v>
      </c>
      <c r="I8" s="40" t="s">
        <v>6427</v>
      </c>
      <c r="L8" s="40" t="str">
        <f t="shared" si="0"/>
        <v>USD,20211104,281760,277280,281400,276510,1,1,1</v>
      </c>
    </row>
    <row r="9" spans="1:15">
      <c r="A9" s="367">
        <v>273870</v>
      </c>
      <c r="B9" s="367">
        <v>272250</v>
      </c>
      <c r="C9" s="268">
        <v>279280</v>
      </c>
      <c r="D9" s="268">
        <v>278970</v>
      </c>
      <c r="E9">
        <v>2960</v>
      </c>
      <c r="F9" s="137">
        <v>1.0699999999999999E-2</v>
      </c>
      <c r="G9" s="202">
        <v>44503</v>
      </c>
      <c r="H9" t="s">
        <v>6775</v>
      </c>
      <c r="I9" s="40" t="s">
        <v>6427</v>
      </c>
      <c r="L9" s="40" t="str">
        <f t="shared" si="0"/>
        <v>USD,20211103,280230,279280,280200,278970,1,1,1</v>
      </c>
    </row>
    <row r="10" spans="1:15">
      <c r="A10" s="367">
        <v>273850</v>
      </c>
      <c r="B10" s="367">
        <v>269350</v>
      </c>
      <c r="C10" s="268">
        <v>276080</v>
      </c>
      <c r="D10" s="268">
        <v>276010</v>
      </c>
      <c r="E10">
        <v>940</v>
      </c>
      <c r="F10" s="137">
        <v>3.3999999999999998E-3</v>
      </c>
      <c r="G10" s="202">
        <v>44502</v>
      </c>
      <c r="H10" t="s">
        <v>6776</v>
      </c>
      <c r="I10" s="40" t="s">
        <v>6427</v>
      </c>
      <c r="L10" s="40" t="str">
        <f t="shared" si="0"/>
        <v>USD,20211102,,276080,,276010,1,1,1</v>
      </c>
      <c r="O10" t="s">
        <v>6428</v>
      </c>
    </row>
    <row r="11" spans="1:15">
      <c r="A11" s="367">
        <v>281890</v>
      </c>
      <c r="B11" s="367">
        <v>275490</v>
      </c>
      <c r="C11" s="268">
        <v>276380</v>
      </c>
      <c r="D11" s="268">
        <v>275070</v>
      </c>
      <c r="E11">
        <v>680</v>
      </c>
      <c r="F11" s="137">
        <v>2.5000000000000001E-3</v>
      </c>
      <c r="G11" s="202">
        <v>44501</v>
      </c>
      <c r="H11" t="s">
        <v>6777</v>
      </c>
      <c r="I11" s="40" t="s">
        <v>6427</v>
      </c>
      <c r="L11" s="40" t="str">
        <f t="shared" si="0"/>
        <v>USD,20211101,,276380,,275070,1,1,1</v>
      </c>
    </row>
    <row r="12" spans="1:15">
      <c r="A12" s="367">
        <v>282460</v>
      </c>
      <c r="B12" s="367">
        <v>281190</v>
      </c>
      <c r="C12" s="268">
        <v>276080</v>
      </c>
      <c r="D12" s="268">
        <v>275750</v>
      </c>
      <c r="E12">
        <v>390</v>
      </c>
      <c r="F12" s="137">
        <v>1.4E-3</v>
      </c>
      <c r="G12" s="202">
        <v>44500</v>
      </c>
      <c r="H12" t="s">
        <v>6778</v>
      </c>
      <c r="I12" s="40" t="s">
        <v>6427</v>
      </c>
      <c r="L12" s="40" t="str">
        <f t="shared" si="0"/>
        <v>USD,20211031,,276080,,275750,1,1,1</v>
      </c>
    </row>
    <row r="13" spans="1:15">
      <c r="A13" s="367">
        <v>279490</v>
      </c>
      <c r="B13" s="367">
        <v>277890</v>
      </c>
      <c r="C13" s="268">
        <v>276680</v>
      </c>
      <c r="D13" s="268">
        <v>276140</v>
      </c>
      <c r="E13">
        <v>430</v>
      </c>
      <c r="F13" s="137">
        <v>1.6000000000000001E-3</v>
      </c>
      <c r="G13" s="202">
        <v>44499</v>
      </c>
      <c r="H13" t="s">
        <v>6779</v>
      </c>
      <c r="I13" s="40" t="s">
        <v>6427</v>
      </c>
      <c r="L13" s="40" t="str">
        <f t="shared" si="0"/>
        <v>USD,20211030,,276680,,276140,1,1,1</v>
      </c>
    </row>
    <row r="14" spans="1:15">
      <c r="A14" s="367">
        <v>277530</v>
      </c>
      <c r="B14" s="367">
        <v>276790</v>
      </c>
      <c r="C14" s="268">
        <v>277080</v>
      </c>
      <c r="D14" s="268">
        <v>276570</v>
      </c>
      <c r="E14">
        <v>210</v>
      </c>
      <c r="F14" s="137">
        <v>8.0000000000000004E-4</v>
      </c>
      <c r="G14" s="202">
        <v>44497</v>
      </c>
      <c r="H14" t="s">
        <v>6780</v>
      </c>
      <c r="I14" s="40" t="s">
        <v>6427</v>
      </c>
      <c r="L14" s="40" t="str">
        <f t="shared" si="0"/>
        <v>USD,20211028,,277080,,276570,1,1,1</v>
      </c>
      <c r="N14" t="s">
        <v>25</v>
      </c>
    </row>
    <row r="15" spans="1:15">
      <c r="A15" s="367">
        <v>277190</v>
      </c>
      <c r="B15" s="367">
        <v>275690</v>
      </c>
      <c r="C15" s="268">
        <v>278080</v>
      </c>
      <c r="D15" s="268">
        <v>276780</v>
      </c>
      <c r="E15">
        <v>1010</v>
      </c>
      <c r="F15" s="137">
        <v>3.7000000000000002E-3</v>
      </c>
      <c r="G15" s="202">
        <v>44496</v>
      </c>
      <c r="H15" t="s">
        <v>6781</v>
      </c>
      <c r="I15" s="40" t="s">
        <v>6427</v>
      </c>
      <c r="L15" s="40" t="str">
        <f t="shared" si="0"/>
        <v>USD,20211027,,278080,,276780,1,1,1</v>
      </c>
    </row>
    <row r="16" spans="1:15">
      <c r="A16" s="367">
        <v>274390</v>
      </c>
      <c r="B16" s="367">
        <v>273690</v>
      </c>
      <c r="C16" s="268">
        <v>275780</v>
      </c>
      <c r="D16" s="268">
        <v>275770</v>
      </c>
      <c r="E16">
        <v>150</v>
      </c>
      <c r="F16" s="137">
        <v>5.0000000000000001E-4</v>
      </c>
      <c r="G16" s="202">
        <v>44495</v>
      </c>
      <c r="H16" t="s">
        <v>6782</v>
      </c>
      <c r="I16" s="40" t="s">
        <v>6427</v>
      </c>
      <c r="L16" s="40" t="str">
        <f t="shared" si="0"/>
        <v>USD,20211026,,275780,,275770,1,1,1</v>
      </c>
    </row>
    <row r="17" spans="1:12">
      <c r="A17" s="367">
        <v>274500</v>
      </c>
      <c r="B17" s="367">
        <v>273490</v>
      </c>
      <c r="C17" s="268">
        <v>276780</v>
      </c>
      <c r="D17" s="268">
        <v>275620</v>
      </c>
      <c r="E17">
        <v>410</v>
      </c>
      <c r="F17" s="137">
        <v>1.5E-3</v>
      </c>
      <c r="G17" s="202">
        <v>44494</v>
      </c>
      <c r="H17" t="s">
        <v>6783</v>
      </c>
      <c r="I17" s="40" t="s">
        <v>6427</v>
      </c>
      <c r="L17" s="40" t="str">
        <f t="shared" si="0"/>
        <v>USD,20211025,,276780,,275620,1,1,1</v>
      </c>
    </row>
    <row r="18" spans="1:12">
      <c r="A18" s="367">
        <v>269030</v>
      </c>
      <c r="B18" s="367">
        <v>268990</v>
      </c>
      <c r="C18" s="268">
        <v>276080</v>
      </c>
      <c r="D18" s="268">
        <v>276030</v>
      </c>
      <c r="E18">
        <v>1880</v>
      </c>
      <c r="F18" s="137">
        <v>6.8999999999999999E-3</v>
      </c>
      <c r="G18" s="202">
        <v>44492</v>
      </c>
      <c r="H18" t="s">
        <v>6784</v>
      </c>
      <c r="I18" s="40" t="s">
        <v>6427</v>
      </c>
      <c r="L18" s="40" t="str">
        <f t="shared" si="0"/>
        <v>USD,20211023,,276080,,276030,1,1,1</v>
      </c>
    </row>
    <row r="19" spans="1:12">
      <c r="A19" s="367">
        <v>269080</v>
      </c>
      <c r="B19" s="367">
        <v>268990</v>
      </c>
      <c r="C19" s="268">
        <v>274680</v>
      </c>
      <c r="D19" s="268">
        <v>274150</v>
      </c>
      <c r="E19">
        <v>1070</v>
      </c>
      <c r="F19" s="137">
        <v>3.8999999999999998E-3</v>
      </c>
      <c r="G19" s="202">
        <v>44490</v>
      </c>
      <c r="H19" t="s">
        <v>6785</v>
      </c>
      <c r="I19" s="40" t="s">
        <v>6427</v>
      </c>
      <c r="L19" s="40" t="str">
        <f t="shared" si="0"/>
        <v>USD,20211021,,274680,,274150,1,1,1</v>
      </c>
    </row>
    <row r="20" spans="1:12">
      <c r="A20" s="367">
        <v>269110</v>
      </c>
      <c r="B20" s="367">
        <v>268990</v>
      </c>
      <c r="C20" s="268">
        <v>274180</v>
      </c>
      <c r="D20" s="268">
        <v>273080</v>
      </c>
      <c r="E20">
        <v>1750</v>
      </c>
      <c r="F20" s="137">
        <v>6.4000000000000003E-3</v>
      </c>
      <c r="G20" s="202">
        <v>44489</v>
      </c>
      <c r="H20" t="s">
        <v>6786</v>
      </c>
      <c r="I20" s="40" t="s">
        <v>6427</v>
      </c>
      <c r="L20" s="40" t="str">
        <f t="shared" si="0"/>
        <v>USD,20211020,,274180,,273080,1,1,1</v>
      </c>
    </row>
    <row r="21" spans="1:12">
      <c r="A21" s="367">
        <v>263490</v>
      </c>
      <c r="B21" s="367">
        <v>263490</v>
      </c>
      <c r="C21" s="268">
        <v>275380</v>
      </c>
      <c r="D21" s="268">
        <v>274830</v>
      </c>
      <c r="E21">
        <v>2190</v>
      </c>
      <c r="F21" s="137">
        <v>8.0000000000000002E-3</v>
      </c>
      <c r="G21" s="202">
        <v>44488</v>
      </c>
      <c r="H21" t="s">
        <v>6787</v>
      </c>
      <c r="I21" s="40" t="s">
        <v>6427</v>
      </c>
      <c r="L21" s="40" t="str">
        <f t="shared" si="0"/>
        <v>USD,20211019,,275380,,274830,1,1,1</v>
      </c>
    </row>
    <row r="22" spans="1:12">
      <c r="A22" s="367">
        <v>263110</v>
      </c>
      <c r="B22" s="367">
        <v>262590</v>
      </c>
      <c r="C22" s="268">
        <v>273180</v>
      </c>
      <c r="D22" s="268">
        <v>272640</v>
      </c>
      <c r="E22">
        <v>820</v>
      </c>
      <c r="F22" s="137">
        <v>3.0000000000000001E-3</v>
      </c>
      <c r="G22" s="202">
        <v>44487</v>
      </c>
      <c r="H22" t="s">
        <v>6788</v>
      </c>
      <c r="I22" s="40" t="s">
        <v>6427</v>
      </c>
      <c r="L22" s="40" t="str">
        <f t="shared" si="0"/>
        <v>USD,20211018,,273180,,272640,1,1,1</v>
      </c>
    </row>
    <row r="23" spans="1:12">
      <c r="A23" s="367">
        <v>265890</v>
      </c>
      <c r="B23" s="367">
        <v>262890</v>
      </c>
      <c r="C23" s="268">
        <v>272980</v>
      </c>
      <c r="D23" s="268">
        <v>271820</v>
      </c>
      <c r="E23">
        <v>1030</v>
      </c>
      <c r="F23" s="137">
        <v>3.8E-3</v>
      </c>
      <c r="G23" s="202">
        <v>44486</v>
      </c>
      <c r="H23" t="s">
        <v>6789</v>
      </c>
      <c r="I23" s="40" t="s">
        <v>6427</v>
      </c>
      <c r="L23" s="40" t="str">
        <f t="shared" si="0"/>
        <v>USD,20211017,,272980,,271820,1,1,1</v>
      </c>
    </row>
    <row r="24" spans="1:12">
      <c r="A24" s="367">
        <v>264690</v>
      </c>
      <c r="B24" s="367">
        <v>263790</v>
      </c>
      <c r="C24" s="268">
        <v>273280</v>
      </c>
      <c r="D24" s="268">
        <v>272850</v>
      </c>
      <c r="E24">
        <v>1980</v>
      </c>
      <c r="F24" s="137">
        <v>7.3000000000000001E-3</v>
      </c>
      <c r="G24" s="202">
        <v>44485</v>
      </c>
      <c r="H24" t="s">
        <v>6790</v>
      </c>
      <c r="I24" s="40" t="s">
        <v>6427</v>
      </c>
      <c r="L24" s="40" t="str">
        <f t="shared" si="0"/>
        <v>USD,20211016,,273280,,272850,1,1,1</v>
      </c>
    </row>
    <row r="25" spans="1:12">
      <c r="A25" s="367">
        <v>258990</v>
      </c>
      <c r="B25" s="367">
        <v>258990</v>
      </c>
      <c r="C25" s="268">
        <v>272480</v>
      </c>
      <c r="D25" s="268">
        <v>270870</v>
      </c>
      <c r="E25">
        <v>690</v>
      </c>
      <c r="F25" s="137">
        <v>2.5000000000000001E-3</v>
      </c>
      <c r="G25" s="202">
        <v>44483</v>
      </c>
      <c r="H25" t="s">
        <v>6791</v>
      </c>
      <c r="I25" s="40" t="s">
        <v>6427</v>
      </c>
      <c r="L25" s="40" t="str">
        <f t="shared" si="0"/>
        <v>USD,20211014,,272480,,270870,1,1,1</v>
      </c>
    </row>
    <row r="26" spans="1:12">
      <c r="A26" s="367">
        <v>256340</v>
      </c>
      <c r="B26" s="367">
        <v>256190</v>
      </c>
      <c r="C26" s="268">
        <v>272780</v>
      </c>
      <c r="D26" s="268">
        <v>271560</v>
      </c>
      <c r="E26">
        <v>830</v>
      </c>
      <c r="F26" s="137">
        <v>3.0999999999999999E-3</v>
      </c>
      <c r="G26" s="202">
        <v>44482</v>
      </c>
      <c r="H26" t="s">
        <v>6792</v>
      </c>
      <c r="I26" s="40" t="s">
        <v>6427</v>
      </c>
      <c r="L26" s="40" t="str">
        <f t="shared" si="0"/>
        <v>USD,20211013,,272780,,271560,1,1,1</v>
      </c>
    </row>
    <row r="27" spans="1:12">
      <c r="A27" s="367">
        <v>256290</v>
      </c>
      <c r="B27" s="367">
        <v>252390</v>
      </c>
      <c r="C27" s="268">
        <v>273680</v>
      </c>
      <c r="D27" s="268">
        <v>270730</v>
      </c>
      <c r="E27">
        <v>2600</v>
      </c>
      <c r="F27" s="137">
        <v>9.5999999999999992E-3</v>
      </c>
      <c r="G27" s="202">
        <v>44481</v>
      </c>
      <c r="H27" t="s">
        <v>6793</v>
      </c>
      <c r="I27" s="40" t="s">
        <v>6427</v>
      </c>
      <c r="L27" s="40" t="str">
        <f t="shared" si="0"/>
        <v>USD,20211012,,273680,,270730,1,1,1</v>
      </c>
    </row>
    <row r="28" spans="1:12">
      <c r="A28" s="367">
        <v>254190</v>
      </c>
      <c r="B28" s="367">
        <v>253990</v>
      </c>
      <c r="C28" s="268">
        <v>276080</v>
      </c>
      <c r="D28" s="268">
        <v>273330</v>
      </c>
      <c r="E28">
        <v>2480</v>
      </c>
      <c r="F28" s="137">
        <v>9.1000000000000004E-3</v>
      </c>
      <c r="G28" s="202">
        <v>44480</v>
      </c>
      <c r="H28" t="s">
        <v>6794</v>
      </c>
      <c r="I28" s="40" t="s">
        <v>6427</v>
      </c>
      <c r="L28" s="40" t="str">
        <f t="shared" si="0"/>
        <v>USD,20211011,,276080,,273330,1,1,1</v>
      </c>
    </row>
    <row r="29" spans="1:12">
      <c r="A29" s="367">
        <v>256490</v>
      </c>
      <c r="B29" s="367">
        <v>255790</v>
      </c>
      <c r="C29" s="268">
        <v>276280</v>
      </c>
      <c r="D29" s="268">
        <v>275810</v>
      </c>
      <c r="E29">
        <v>210</v>
      </c>
      <c r="F29" s="137">
        <v>8.0000000000000004E-4</v>
      </c>
      <c r="G29" s="202">
        <v>44479</v>
      </c>
      <c r="H29" t="s">
        <v>6795</v>
      </c>
      <c r="I29" s="40" t="s">
        <v>6427</v>
      </c>
      <c r="L29" s="40" t="str">
        <f t="shared" si="0"/>
        <v>USD,20211010,,276280,,275810,1,1,1</v>
      </c>
    </row>
    <row r="30" spans="1:12">
      <c r="A30" s="367">
        <v>257250</v>
      </c>
      <c r="B30" s="367">
        <v>254690</v>
      </c>
      <c r="C30" s="268">
        <v>279380</v>
      </c>
      <c r="D30" s="268">
        <v>275600</v>
      </c>
      <c r="E30">
        <v>3720</v>
      </c>
      <c r="F30" s="137">
        <v>1.35E-2</v>
      </c>
      <c r="G30" s="202">
        <v>44478</v>
      </c>
      <c r="H30" t="s">
        <v>6796</v>
      </c>
      <c r="I30" s="40" t="s">
        <v>6427</v>
      </c>
      <c r="L30" s="40" t="str">
        <f t="shared" si="0"/>
        <v>USD,20211009,,279380,,275600,1,1,1</v>
      </c>
    </row>
    <row r="31" spans="1:12">
      <c r="A31" s="367">
        <v>255790</v>
      </c>
      <c r="B31" s="367">
        <v>255690</v>
      </c>
      <c r="C31" s="268">
        <v>281680</v>
      </c>
      <c r="D31" s="268">
        <v>279320</v>
      </c>
      <c r="E31">
        <v>2040</v>
      </c>
      <c r="F31" s="137">
        <v>7.3000000000000001E-3</v>
      </c>
      <c r="G31" s="202">
        <v>44475</v>
      </c>
      <c r="H31" t="s">
        <v>6797</v>
      </c>
      <c r="I31" s="40" t="s">
        <v>6427</v>
      </c>
      <c r="L31" s="40" t="str">
        <f t="shared" si="0"/>
        <v>USD,20211006,,281680,,279320,1,1,1</v>
      </c>
    </row>
    <row r="32" spans="1:12">
      <c r="A32" s="367">
        <v>255690</v>
      </c>
      <c r="B32" s="367">
        <v>254590</v>
      </c>
      <c r="C32" s="268">
        <v>281680</v>
      </c>
      <c r="D32" s="268">
        <v>281360</v>
      </c>
      <c r="E32" t="s">
        <v>6426</v>
      </c>
      <c r="F32" t="s">
        <v>6426</v>
      </c>
      <c r="G32" s="202">
        <v>44473</v>
      </c>
      <c r="H32" t="s">
        <v>6798</v>
      </c>
      <c r="I32" s="40" t="s">
        <v>6427</v>
      </c>
      <c r="L32" s="40" t="str">
        <f t="shared" si="0"/>
        <v>USD,20211004,,281680,,281360,1,1,1</v>
      </c>
    </row>
    <row r="33" spans="1:12">
      <c r="A33" s="367">
        <v>257190</v>
      </c>
      <c r="B33" s="367">
        <v>254290</v>
      </c>
      <c r="C33" s="268">
        <v>281610</v>
      </c>
      <c r="D33" s="268">
        <v>280410</v>
      </c>
      <c r="E33">
        <v>1600</v>
      </c>
      <c r="F33" s="137">
        <v>5.7000000000000002E-3</v>
      </c>
      <c r="G33" s="202">
        <v>44472</v>
      </c>
      <c r="H33" t="s">
        <v>6799</v>
      </c>
      <c r="I33" s="40" t="s">
        <v>6427</v>
      </c>
      <c r="L33" s="40" t="str">
        <f t="shared" si="0"/>
        <v>USD,20211003,,281610,,280410,1,1,1</v>
      </c>
    </row>
    <row r="34" spans="1:12">
      <c r="A34" s="367">
        <v>260270</v>
      </c>
      <c r="B34" s="367">
        <v>256990</v>
      </c>
      <c r="C34" s="268">
        <v>283510</v>
      </c>
      <c r="D34" s="268">
        <v>282010</v>
      </c>
      <c r="E34">
        <v>2700</v>
      </c>
      <c r="F34" s="137">
        <v>9.5999999999999992E-3</v>
      </c>
      <c r="G34" s="202">
        <v>44471</v>
      </c>
      <c r="H34" t="s">
        <v>6801</v>
      </c>
      <c r="I34" s="40" t="s">
        <v>6427</v>
      </c>
      <c r="L34" s="40" t="str">
        <f t="shared" si="0"/>
        <v>USD,20211002,,283510,,282010,1,1,1</v>
      </c>
    </row>
    <row r="35" spans="1:12">
      <c r="A35" s="268">
        <v>251800</v>
      </c>
      <c r="B35" s="268">
        <v>251690</v>
      </c>
      <c r="C35" s="268">
        <v>284710</v>
      </c>
      <c r="D35" s="268">
        <v>284710</v>
      </c>
      <c r="E35">
        <v>2200</v>
      </c>
      <c r="F35" s="137">
        <v>7.7999999999999996E-3</v>
      </c>
      <c r="G35" s="202">
        <v>44469</v>
      </c>
      <c r="H35" t="s">
        <v>6802</v>
      </c>
      <c r="I35" s="40" t="s">
        <v>6427</v>
      </c>
      <c r="L35" s="40" t="str">
        <f t="shared" si="0"/>
        <v>USD,20210930,,284710,,284710,1,1,1</v>
      </c>
    </row>
    <row r="36" spans="1:12">
      <c r="A36" s="268">
        <v>250780</v>
      </c>
      <c r="B36" s="268">
        <v>250690</v>
      </c>
      <c r="C36" s="268">
        <v>283210</v>
      </c>
      <c r="D36" s="268">
        <v>282510</v>
      </c>
      <c r="E36">
        <v>1800</v>
      </c>
      <c r="F36" s="137">
        <v>6.4000000000000003E-3</v>
      </c>
      <c r="G36" s="202">
        <v>44468</v>
      </c>
      <c r="H36" t="s">
        <v>6803</v>
      </c>
      <c r="I36" s="40" t="s">
        <v>6427</v>
      </c>
      <c r="L36" s="40" t="str">
        <f t="shared" si="0"/>
        <v>USD,20210929,,283210,,282510,1,1,1</v>
      </c>
    </row>
    <row r="37" spans="1:12">
      <c r="A37" s="268">
        <v>248130</v>
      </c>
      <c r="B37" s="268">
        <v>247890</v>
      </c>
      <c r="C37" s="268">
        <v>280710</v>
      </c>
      <c r="D37" s="268">
        <v>280710</v>
      </c>
      <c r="E37">
        <v>3900</v>
      </c>
      <c r="F37" s="137">
        <v>1.41E-2</v>
      </c>
      <c r="G37" s="202">
        <v>44467</v>
      </c>
      <c r="H37" t="s">
        <v>6804</v>
      </c>
      <c r="I37" s="40" t="s">
        <v>6427</v>
      </c>
      <c r="L37" s="40" t="str">
        <f t="shared" ref="L37:L54" si="1">CONCATENATE("USD",I37,TEXT(G37,"yyyymmdd"),I37,A366,I37,C37,I37,B366,I37,D37,I37,"1,1,1")</f>
        <v>USD,20210928,,280710,,280710,1,1,1</v>
      </c>
    </row>
    <row r="38" spans="1:12">
      <c r="A38" s="268">
        <v>247490</v>
      </c>
      <c r="B38" s="268">
        <v>247490</v>
      </c>
      <c r="C38" s="268">
        <v>276910</v>
      </c>
      <c r="D38" s="268">
        <v>276810</v>
      </c>
      <c r="E38">
        <v>1200</v>
      </c>
      <c r="F38" s="137">
        <v>4.4000000000000003E-3</v>
      </c>
      <c r="G38" s="202">
        <v>44465</v>
      </c>
      <c r="H38" t="s">
        <v>6805</v>
      </c>
      <c r="I38" s="40" t="s">
        <v>6427</v>
      </c>
      <c r="L38" s="40" t="str">
        <f t="shared" si="1"/>
        <v>USD,20210926,,276910,,276810,1,1,1</v>
      </c>
    </row>
    <row r="39" spans="1:12">
      <c r="A39" s="268">
        <v>246190</v>
      </c>
      <c r="B39" s="268">
        <v>246190</v>
      </c>
      <c r="C39" s="268">
        <v>276810</v>
      </c>
      <c r="D39" s="268">
        <v>275610</v>
      </c>
      <c r="E39">
        <v>1200</v>
      </c>
      <c r="F39" s="137">
        <v>4.4000000000000003E-3</v>
      </c>
      <c r="G39" s="202">
        <v>44464</v>
      </c>
      <c r="H39" t="s">
        <v>6806</v>
      </c>
      <c r="I39" s="40" t="s">
        <v>6427</v>
      </c>
      <c r="L39" s="40" t="str">
        <f t="shared" si="1"/>
        <v>USD,20210925,,276810,,275610,1,1,1</v>
      </c>
    </row>
    <row r="40" spans="1:12">
      <c r="A40" s="268">
        <v>246240</v>
      </c>
      <c r="B40" s="268">
        <v>246190</v>
      </c>
      <c r="C40" s="268">
        <v>276810</v>
      </c>
      <c r="D40" s="268">
        <v>276810</v>
      </c>
      <c r="E40">
        <v>1600</v>
      </c>
      <c r="F40" s="137">
        <v>5.7999999999999996E-3</v>
      </c>
      <c r="G40" s="202">
        <v>44462</v>
      </c>
      <c r="H40" t="s">
        <v>6800</v>
      </c>
      <c r="I40" s="40" t="s">
        <v>6427</v>
      </c>
      <c r="L40" s="40" t="str">
        <f t="shared" si="1"/>
        <v>USD,20210923,,276810,,276810,1,1,1</v>
      </c>
    </row>
    <row r="41" spans="1:12">
      <c r="A41" s="268">
        <v>244820</v>
      </c>
      <c r="B41" s="268">
        <v>244790</v>
      </c>
      <c r="C41" s="268">
        <v>276110</v>
      </c>
      <c r="D41" s="268">
        <v>275210</v>
      </c>
      <c r="E41">
        <v>1180</v>
      </c>
      <c r="F41" s="137">
        <v>4.3E-3</v>
      </c>
      <c r="G41" s="202">
        <v>44461</v>
      </c>
      <c r="H41" t="s">
        <v>6807</v>
      </c>
      <c r="I41" s="40" t="s">
        <v>6427</v>
      </c>
      <c r="L41" s="40" t="str">
        <f t="shared" si="1"/>
        <v>USD,20210922,,276110,,275210,1,1,1</v>
      </c>
    </row>
    <row r="42" spans="1:12">
      <c r="A42" s="268">
        <v>245600</v>
      </c>
      <c r="B42" s="268">
        <v>244090</v>
      </c>
      <c r="C42" s="268">
        <v>276310</v>
      </c>
      <c r="D42" s="268">
        <v>274030</v>
      </c>
      <c r="E42" t="s">
        <v>6426</v>
      </c>
      <c r="F42" t="s">
        <v>6426</v>
      </c>
      <c r="G42" s="202">
        <v>44460</v>
      </c>
      <c r="H42" t="s">
        <v>6808</v>
      </c>
      <c r="I42" s="40" t="s">
        <v>6427</v>
      </c>
      <c r="L42" s="40" t="str">
        <f t="shared" si="1"/>
        <v>USD,20210921,,276310,,274030,1,1,1</v>
      </c>
    </row>
    <row r="43" spans="1:12">
      <c r="A43" s="268">
        <v>246890</v>
      </c>
      <c r="B43" s="268">
        <v>245190</v>
      </c>
      <c r="C43" s="268">
        <v>274510</v>
      </c>
      <c r="D43" s="268">
        <v>274430</v>
      </c>
      <c r="E43">
        <v>220</v>
      </c>
      <c r="F43" s="137">
        <v>8.0000000000000004E-4</v>
      </c>
      <c r="G43" s="202">
        <v>44459</v>
      </c>
      <c r="H43" t="s">
        <v>6809</v>
      </c>
      <c r="I43" s="40" t="s">
        <v>6427</v>
      </c>
      <c r="L43" s="40" t="str">
        <f t="shared" si="1"/>
        <v>USD,20210920,,274510,,274430,1,1,1</v>
      </c>
    </row>
    <row r="44" spans="1:12">
      <c r="A44" s="268">
        <v>247610</v>
      </c>
      <c r="B44" s="268">
        <v>247190</v>
      </c>
      <c r="C44" s="268">
        <v>275010</v>
      </c>
      <c r="D44" s="268">
        <v>274650</v>
      </c>
      <c r="E44">
        <v>940</v>
      </c>
      <c r="F44" s="137">
        <v>3.3999999999999998E-3</v>
      </c>
      <c r="G44" s="202">
        <v>44458</v>
      </c>
      <c r="H44" t="s">
        <v>6810</v>
      </c>
      <c r="I44" s="40" t="s">
        <v>6427</v>
      </c>
      <c r="L44" s="40" t="str">
        <f t="shared" si="1"/>
        <v>USD,20210919,,275010,,274650,1,1,1</v>
      </c>
    </row>
    <row r="45" spans="1:12">
      <c r="A45" s="268">
        <v>246190</v>
      </c>
      <c r="B45" s="268">
        <v>246190</v>
      </c>
      <c r="C45" s="268">
        <v>276410</v>
      </c>
      <c r="D45" s="268">
        <v>273710</v>
      </c>
      <c r="E45">
        <v>750</v>
      </c>
      <c r="F45" s="137">
        <v>2.7000000000000001E-3</v>
      </c>
      <c r="G45" s="202">
        <v>44457</v>
      </c>
      <c r="H45" t="s">
        <v>6811</v>
      </c>
      <c r="I45" s="40" t="s">
        <v>6427</v>
      </c>
      <c r="L45" s="40" t="str">
        <f t="shared" si="1"/>
        <v>USD,20210918,,276410,,273710,1,1,1</v>
      </c>
    </row>
    <row r="46" spans="1:12">
      <c r="A46" s="268">
        <v>247610</v>
      </c>
      <c r="B46" s="268">
        <v>244990</v>
      </c>
      <c r="C46" s="268">
        <v>274510</v>
      </c>
      <c r="D46" s="268">
        <v>274460</v>
      </c>
      <c r="E46">
        <v>1250</v>
      </c>
      <c r="F46" s="137">
        <v>4.5999999999999999E-3</v>
      </c>
      <c r="G46" s="202">
        <v>44455</v>
      </c>
      <c r="H46" t="s">
        <v>6812</v>
      </c>
      <c r="I46" s="40" t="s">
        <v>6427</v>
      </c>
      <c r="L46" s="40" t="str">
        <f t="shared" si="1"/>
        <v>USD,20210916,,274510,,274460,1,1,1</v>
      </c>
    </row>
    <row r="47" spans="1:12">
      <c r="A47" s="268">
        <v>249740</v>
      </c>
      <c r="B47" s="268">
        <v>247090</v>
      </c>
      <c r="C47" s="268">
        <v>274210</v>
      </c>
      <c r="D47" s="268">
        <v>273210</v>
      </c>
      <c r="E47">
        <v>3260</v>
      </c>
      <c r="F47" s="137">
        <v>1.1900000000000001E-2</v>
      </c>
      <c r="G47" s="202">
        <v>44454</v>
      </c>
      <c r="H47" t="s">
        <v>6813</v>
      </c>
      <c r="I47" s="40" t="s">
        <v>6427</v>
      </c>
      <c r="L47" s="40" t="str">
        <f t="shared" si="1"/>
        <v>USD,20210915,,274210,,273210,1,1,1</v>
      </c>
    </row>
    <row r="48" spans="1:12">
      <c r="A48" s="268">
        <v>250040</v>
      </c>
      <c r="B48" s="268">
        <v>249290</v>
      </c>
      <c r="C48" s="268">
        <v>277310</v>
      </c>
      <c r="D48" s="268">
        <v>276470</v>
      </c>
      <c r="E48">
        <v>3360</v>
      </c>
      <c r="F48" s="137">
        <v>1.23E-2</v>
      </c>
      <c r="G48" s="202">
        <v>44453</v>
      </c>
      <c r="H48" t="s">
        <v>6814</v>
      </c>
      <c r="I48" s="40" t="s">
        <v>6427</v>
      </c>
      <c r="L48" s="40" t="str">
        <f t="shared" si="1"/>
        <v>USD,20210914,,277310,,276470,1,1,1</v>
      </c>
    </row>
    <row r="49" spans="1:12">
      <c r="A49" s="268">
        <v>249210</v>
      </c>
      <c r="B49" s="268">
        <v>248790</v>
      </c>
      <c r="C49" s="268">
        <v>273210</v>
      </c>
      <c r="D49" s="268">
        <v>273110</v>
      </c>
      <c r="E49">
        <v>600</v>
      </c>
      <c r="F49" s="137">
        <v>2.2000000000000001E-3</v>
      </c>
      <c r="G49" s="202">
        <v>44452</v>
      </c>
      <c r="H49" t="s">
        <v>6815</v>
      </c>
      <c r="I49" s="40" t="s">
        <v>6427</v>
      </c>
      <c r="L49" s="40" t="str">
        <f t="shared" si="1"/>
        <v>USD,20210913,,273210,,273110,1,1,1</v>
      </c>
    </row>
    <row r="50" spans="1:12">
      <c r="A50" s="268">
        <v>250340</v>
      </c>
      <c r="B50" s="268">
        <v>248190</v>
      </c>
      <c r="C50" s="268">
        <v>277210</v>
      </c>
      <c r="D50" s="268">
        <v>272510</v>
      </c>
      <c r="E50">
        <v>4800</v>
      </c>
      <c r="F50" s="137">
        <v>1.7600000000000001E-2</v>
      </c>
      <c r="G50" s="202">
        <v>44451</v>
      </c>
      <c r="H50" t="s">
        <v>6816</v>
      </c>
      <c r="I50" s="40" t="s">
        <v>6427</v>
      </c>
      <c r="L50" s="40" t="str">
        <f t="shared" si="1"/>
        <v>USD,20210912,,277210,,272510,1,1,1</v>
      </c>
    </row>
    <row r="51" spans="1:12">
      <c r="A51" s="268">
        <v>251070</v>
      </c>
      <c r="B51" s="268">
        <v>249490</v>
      </c>
      <c r="C51" s="268">
        <v>278810</v>
      </c>
      <c r="D51" s="268">
        <v>277310</v>
      </c>
      <c r="E51">
        <v>960</v>
      </c>
      <c r="F51" s="137">
        <v>3.5000000000000001E-3</v>
      </c>
      <c r="G51" s="202">
        <v>44450</v>
      </c>
      <c r="H51" t="s">
        <v>6817</v>
      </c>
      <c r="I51" s="40" t="s">
        <v>6427</v>
      </c>
      <c r="L51" s="40" t="str">
        <f t="shared" si="1"/>
        <v>USD,20210911,,278810,,277310,1,1,1</v>
      </c>
    </row>
    <row r="52" spans="1:12">
      <c r="A52" s="268">
        <v>250490</v>
      </c>
      <c r="B52" s="268">
        <v>250010</v>
      </c>
      <c r="C52" s="268">
        <v>279010</v>
      </c>
      <c r="D52" s="268">
        <v>278270</v>
      </c>
      <c r="E52">
        <v>1460</v>
      </c>
      <c r="F52" s="137">
        <v>5.3E-3</v>
      </c>
      <c r="G52" s="202">
        <v>44448</v>
      </c>
      <c r="H52" t="s">
        <v>6818</v>
      </c>
      <c r="I52" s="40" t="s">
        <v>6427</v>
      </c>
      <c r="L52" s="40" t="str">
        <f t="shared" si="1"/>
        <v>USD,20210909,,279010,,278270,1,1,1</v>
      </c>
    </row>
    <row r="53" spans="1:12">
      <c r="A53" s="268">
        <v>250990</v>
      </c>
      <c r="B53" s="268">
        <v>250590</v>
      </c>
      <c r="C53" s="268">
        <v>277310</v>
      </c>
      <c r="D53" s="268">
        <v>276810</v>
      </c>
      <c r="E53">
        <v>3000</v>
      </c>
      <c r="F53" s="137">
        <v>1.0999999999999999E-2</v>
      </c>
      <c r="G53" s="202">
        <v>44447</v>
      </c>
      <c r="H53" t="s">
        <v>6819</v>
      </c>
      <c r="I53" s="40" t="s">
        <v>6427</v>
      </c>
      <c r="L53" s="40" t="str">
        <f t="shared" si="1"/>
        <v>USD,20210908,,277310,,276810,1,1,1</v>
      </c>
    </row>
    <row r="54" spans="1:12">
      <c r="A54" s="268">
        <v>251220</v>
      </c>
      <c r="B54" s="268">
        <v>249490</v>
      </c>
      <c r="C54" s="268">
        <v>274010</v>
      </c>
      <c r="D54" s="268">
        <v>273810</v>
      </c>
      <c r="E54">
        <v>2600</v>
      </c>
      <c r="F54" s="137">
        <v>9.5999999999999992E-3</v>
      </c>
      <c r="G54" s="202">
        <v>44446</v>
      </c>
      <c r="H54" t="s">
        <v>6820</v>
      </c>
      <c r="I54" s="40" t="s">
        <v>6427</v>
      </c>
      <c r="L54" s="40" t="str">
        <f t="shared" si="1"/>
        <v>USD,20210907,,274010,,273810,1,1,1</v>
      </c>
    </row>
    <row r="55" spans="1:12">
      <c r="A55" s="268">
        <v>254490</v>
      </c>
      <c r="B55" s="268">
        <v>251090</v>
      </c>
      <c r="C55" s="268">
        <v>251640</v>
      </c>
      <c r="D55" s="268">
        <v>251090</v>
      </c>
      <c r="E55">
        <v>1370</v>
      </c>
      <c r="F55" s="137">
        <v>5.4999999999999997E-3</v>
      </c>
      <c r="G55" s="202">
        <v>44383</v>
      </c>
      <c r="H55" t="s">
        <v>6432</v>
      </c>
      <c r="I55" s="40" t="s">
        <v>6427</v>
      </c>
      <c r="L55" s="40" t="str">
        <f t="shared" ref="L55:L118" si="2">CONCATENATE("USD",I55,TEXT(G55,"yyyymmdd"),I55,A53,I55,C55,I55,B53,I55,D55,I55,"1,1,1")</f>
        <v>USD,20210706,250990,251640,250590,251090,1,1,1</v>
      </c>
    </row>
    <row r="56" spans="1:12">
      <c r="A56" s="268">
        <v>251600</v>
      </c>
      <c r="B56" s="268">
        <v>251390</v>
      </c>
      <c r="C56" s="268">
        <v>251340</v>
      </c>
      <c r="D56" s="268">
        <v>249720</v>
      </c>
      <c r="E56">
        <v>1790</v>
      </c>
      <c r="F56" s="137">
        <v>7.1999999999999998E-3</v>
      </c>
      <c r="G56" s="202">
        <v>44382</v>
      </c>
      <c r="H56" t="s">
        <v>6433</v>
      </c>
      <c r="I56" s="40" t="s">
        <v>6427</v>
      </c>
      <c r="L56" s="40" t="str">
        <f t="shared" si="2"/>
        <v>USD,20210705,251220,251340,249490,249720,1,1,1</v>
      </c>
    </row>
    <row r="57" spans="1:12">
      <c r="A57" s="268">
        <v>253290</v>
      </c>
      <c r="B57" s="268">
        <v>250690</v>
      </c>
      <c r="C57" s="268">
        <v>254640</v>
      </c>
      <c r="D57" s="268">
        <v>251510</v>
      </c>
      <c r="E57">
        <v>850</v>
      </c>
      <c r="F57" s="137">
        <v>3.3999999999999998E-3</v>
      </c>
      <c r="G57" s="202">
        <v>44381</v>
      </c>
      <c r="H57" t="s">
        <v>6299</v>
      </c>
      <c r="I57" s="40" t="s">
        <v>6427</v>
      </c>
      <c r="L57" s="40" t="str">
        <f t="shared" si="2"/>
        <v>USD,20210704,254490,254640,251090,251510,1,1,1</v>
      </c>
    </row>
    <row r="58" spans="1:12">
      <c r="A58" s="268">
        <v>250020</v>
      </c>
      <c r="B58" s="268">
        <v>249990</v>
      </c>
      <c r="C58" s="268">
        <v>253840</v>
      </c>
      <c r="D58" s="268">
        <v>252360</v>
      </c>
      <c r="E58">
        <v>850</v>
      </c>
      <c r="F58" s="137">
        <v>3.3999999999999998E-3</v>
      </c>
      <c r="G58" s="202">
        <v>44380</v>
      </c>
      <c r="H58" t="s">
        <v>6434</v>
      </c>
      <c r="I58" s="40" t="s">
        <v>6427</v>
      </c>
      <c r="L58" s="40" t="str">
        <f t="shared" si="2"/>
        <v>USD,20210703,251600,253840,251390,252360,1,1,1</v>
      </c>
    </row>
    <row r="59" spans="1:12">
      <c r="A59" s="268">
        <v>249000</v>
      </c>
      <c r="B59" s="268">
        <v>248890</v>
      </c>
      <c r="C59" s="268">
        <v>253440</v>
      </c>
      <c r="D59" s="268">
        <v>251510</v>
      </c>
      <c r="E59">
        <v>2490</v>
      </c>
      <c r="F59" s="137">
        <v>9.9000000000000008E-3</v>
      </c>
      <c r="G59" s="202">
        <v>44378</v>
      </c>
      <c r="H59" t="s">
        <v>6435</v>
      </c>
      <c r="I59" s="40" t="s">
        <v>6427</v>
      </c>
      <c r="L59" s="40" t="str">
        <f t="shared" si="2"/>
        <v>USD,20210701,253290,253440,250690,251510,1,1,1</v>
      </c>
    </row>
    <row r="60" spans="1:12">
      <c r="A60" s="268">
        <v>246360</v>
      </c>
      <c r="B60" s="268">
        <v>246290</v>
      </c>
      <c r="C60" s="268">
        <v>254130</v>
      </c>
      <c r="D60" s="268">
        <v>254000</v>
      </c>
      <c r="E60">
        <v>4350</v>
      </c>
      <c r="F60" s="137">
        <v>1.7399999999999999E-2</v>
      </c>
      <c r="G60" s="202">
        <v>44377</v>
      </c>
      <c r="H60" t="s">
        <v>6436</v>
      </c>
      <c r="I60" s="40" t="s">
        <v>6427</v>
      </c>
      <c r="L60" s="40" t="str">
        <f t="shared" si="2"/>
        <v>USD,20210630,250020,254130,249990,254000,1,1,1</v>
      </c>
    </row>
    <row r="61" spans="1:12">
      <c r="A61" s="268">
        <v>243490</v>
      </c>
      <c r="B61" s="268">
        <v>243490</v>
      </c>
      <c r="C61" s="268">
        <v>252040</v>
      </c>
      <c r="D61" s="268">
        <v>249650</v>
      </c>
      <c r="E61">
        <v>2530</v>
      </c>
      <c r="F61" s="137">
        <v>1.0200000000000001E-2</v>
      </c>
      <c r="G61" s="202">
        <v>44376</v>
      </c>
      <c r="H61" t="s">
        <v>6437</v>
      </c>
      <c r="I61" s="40" t="s">
        <v>6427</v>
      </c>
      <c r="L61" s="40" t="str">
        <f t="shared" si="2"/>
        <v>USD,20210629,249000,252040,248890,249650,1,1,1</v>
      </c>
    </row>
    <row r="62" spans="1:12">
      <c r="A62" s="268">
        <v>244500</v>
      </c>
      <c r="B62" s="268">
        <v>242290</v>
      </c>
      <c r="C62" s="268">
        <v>248640</v>
      </c>
      <c r="D62" s="268">
        <v>247120</v>
      </c>
      <c r="E62">
        <v>350</v>
      </c>
      <c r="F62" s="137">
        <v>1.4E-3</v>
      </c>
      <c r="G62" s="202">
        <v>44375</v>
      </c>
      <c r="H62" t="s">
        <v>6438</v>
      </c>
      <c r="I62" s="40" t="s">
        <v>6427</v>
      </c>
      <c r="L62" s="40" t="str">
        <f t="shared" si="2"/>
        <v>USD,20210628,246360,248640,246290,247120,1,1,1</v>
      </c>
    </row>
    <row r="63" spans="1:12">
      <c r="A63" s="268">
        <v>241690</v>
      </c>
      <c r="B63" s="268">
        <v>241190</v>
      </c>
      <c r="C63" s="268">
        <v>246940</v>
      </c>
      <c r="D63" s="268">
        <v>246770</v>
      </c>
      <c r="E63">
        <v>2230</v>
      </c>
      <c r="F63" s="137">
        <v>9.1000000000000004E-3</v>
      </c>
      <c r="G63" s="202">
        <v>44374</v>
      </c>
      <c r="H63" t="s">
        <v>6439</v>
      </c>
      <c r="I63" s="40" t="s">
        <v>6427</v>
      </c>
      <c r="L63" s="40" t="str">
        <f t="shared" si="2"/>
        <v>USD,20210627,243490,246940,243490,246770,1,1,1</v>
      </c>
    </row>
    <row r="64" spans="1:12">
      <c r="A64" s="268">
        <v>243310</v>
      </c>
      <c r="B64" s="268">
        <v>240790</v>
      </c>
      <c r="C64" s="268">
        <v>245940</v>
      </c>
      <c r="D64" s="268">
        <v>244540</v>
      </c>
      <c r="E64">
        <v>2650</v>
      </c>
      <c r="F64" s="137">
        <v>1.0999999999999999E-2</v>
      </c>
      <c r="G64" s="202">
        <v>44373</v>
      </c>
      <c r="H64" t="s">
        <v>6440</v>
      </c>
      <c r="I64" s="40" t="s">
        <v>6427</v>
      </c>
      <c r="L64" s="40" t="str">
        <f t="shared" si="2"/>
        <v>USD,20210626,244500,245940,242290,244540,1,1,1</v>
      </c>
    </row>
    <row r="65" spans="1:12">
      <c r="A65" s="268">
        <v>241190</v>
      </c>
      <c r="B65" s="268">
        <v>241190</v>
      </c>
      <c r="C65" s="268">
        <v>242440</v>
      </c>
      <c r="D65" s="268">
        <v>241890</v>
      </c>
      <c r="E65">
        <v>100</v>
      </c>
      <c r="F65" s="137">
        <v>4.0000000000000002E-4</v>
      </c>
      <c r="G65" s="202">
        <v>44371</v>
      </c>
      <c r="H65" t="s">
        <v>6441</v>
      </c>
      <c r="I65" s="40" t="s">
        <v>6427</v>
      </c>
      <c r="L65" s="40" t="str">
        <f t="shared" si="2"/>
        <v>USD,20210624,241690,242440,241190,241890,1,1,1</v>
      </c>
    </row>
    <row r="66" spans="1:12">
      <c r="A66" s="268">
        <v>239940</v>
      </c>
      <c r="B66" s="268">
        <v>239190</v>
      </c>
      <c r="C66" s="268">
        <v>243340</v>
      </c>
      <c r="D66" s="268">
        <v>241790</v>
      </c>
      <c r="E66">
        <v>880</v>
      </c>
      <c r="F66" s="137">
        <v>3.5999999999999999E-3</v>
      </c>
      <c r="G66" s="202">
        <v>44370</v>
      </c>
      <c r="H66" t="s">
        <v>6442</v>
      </c>
      <c r="I66" s="40" t="s">
        <v>6427</v>
      </c>
      <c r="L66" s="40" t="str">
        <f t="shared" si="2"/>
        <v>USD,20210623,243310,243340,240790,241790,1,1,1</v>
      </c>
    </row>
    <row r="67" spans="1:12">
      <c r="A67" s="268">
        <v>234810</v>
      </c>
      <c r="B67" s="268">
        <v>234690</v>
      </c>
      <c r="C67" s="268">
        <v>243140</v>
      </c>
      <c r="D67" s="268">
        <v>242670</v>
      </c>
      <c r="E67">
        <v>1680</v>
      </c>
      <c r="F67" s="137">
        <v>7.0000000000000001E-3</v>
      </c>
      <c r="G67" s="202">
        <v>44369</v>
      </c>
      <c r="H67" t="s">
        <v>6443</v>
      </c>
      <c r="I67" s="40" t="s">
        <v>6427</v>
      </c>
      <c r="L67" s="40" t="str">
        <f t="shared" si="2"/>
        <v>USD,20210622,241190,243140,241190,242670,1,1,1</v>
      </c>
    </row>
    <row r="68" spans="1:12">
      <c r="A68" s="268">
        <v>244490</v>
      </c>
      <c r="B68" s="268">
        <v>234690</v>
      </c>
      <c r="C68" s="268">
        <v>241440</v>
      </c>
      <c r="D68" s="268">
        <v>240990</v>
      </c>
      <c r="E68">
        <v>1390</v>
      </c>
      <c r="F68" s="137">
        <v>5.7999999999999996E-3</v>
      </c>
      <c r="G68" s="202">
        <v>44368</v>
      </c>
      <c r="H68" t="s">
        <v>6444</v>
      </c>
      <c r="I68" s="40" t="s">
        <v>6427</v>
      </c>
      <c r="L68" s="40" t="str">
        <f t="shared" si="2"/>
        <v>USD,20210621,239940,241440,239190,240990,1,1,1</v>
      </c>
    </row>
    <row r="69" spans="1:12">
      <c r="A69" s="268">
        <v>242010</v>
      </c>
      <c r="B69" s="268">
        <v>241950</v>
      </c>
      <c r="C69" s="268">
        <v>240440</v>
      </c>
      <c r="D69" s="268">
        <v>239600</v>
      </c>
      <c r="E69">
        <v>4710</v>
      </c>
      <c r="F69" s="137">
        <v>2.01E-2</v>
      </c>
      <c r="G69" s="202">
        <v>44367</v>
      </c>
      <c r="H69" t="s">
        <v>6445</v>
      </c>
      <c r="I69" s="40" t="s">
        <v>6427</v>
      </c>
      <c r="L69" s="40" t="str">
        <f t="shared" si="2"/>
        <v>USD,20210620,234810,240440,234690,239600,1,1,1</v>
      </c>
    </row>
    <row r="70" spans="1:12">
      <c r="A70" s="268">
        <v>240470</v>
      </c>
      <c r="B70" s="268">
        <v>239450</v>
      </c>
      <c r="C70" s="268">
        <v>244640</v>
      </c>
      <c r="D70" s="268">
        <v>234890</v>
      </c>
      <c r="E70">
        <v>9400</v>
      </c>
      <c r="F70" s="369">
        <v>0.04</v>
      </c>
      <c r="G70" s="202">
        <v>44366</v>
      </c>
      <c r="H70" t="s">
        <v>6446</v>
      </c>
      <c r="I70" s="40" t="s">
        <v>6427</v>
      </c>
      <c r="L70" s="40" t="str">
        <f t="shared" si="2"/>
        <v>USD,20210619,244490,244640,234690,234890,1,1,1</v>
      </c>
    </row>
    <row r="71" spans="1:12">
      <c r="A71" s="268">
        <v>239970</v>
      </c>
      <c r="B71" s="268">
        <v>239950</v>
      </c>
      <c r="C71" s="268">
        <v>244640</v>
      </c>
      <c r="D71" s="268">
        <v>244290</v>
      </c>
      <c r="E71">
        <v>2540</v>
      </c>
      <c r="F71" s="137">
        <v>1.0500000000000001E-2</v>
      </c>
      <c r="G71" s="202">
        <v>44364</v>
      </c>
      <c r="H71" t="s">
        <v>6447</v>
      </c>
      <c r="I71" s="40" t="s">
        <v>6427</v>
      </c>
      <c r="L71" s="40" t="str">
        <f t="shared" si="2"/>
        <v>USD,20210617,242010,244640,241950,244290,1,1,1</v>
      </c>
    </row>
    <row r="72" spans="1:12">
      <c r="A72" s="268">
        <v>240970</v>
      </c>
      <c r="B72" s="268">
        <v>238550</v>
      </c>
      <c r="C72" s="268">
        <v>242250</v>
      </c>
      <c r="D72" s="268">
        <v>241750</v>
      </c>
      <c r="E72">
        <v>1260</v>
      </c>
      <c r="F72" s="137">
        <v>5.1999999999999998E-3</v>
      </c>
      <c r="G72" s="202">
        <v>44363</v>
      </c>
      <c r="H72" t="s">
        <v>6448</v>
      </c>
      <c r="I72" s="40" t="s">
        <v>6427</v>
      </c>
      <c r="L72" s="40" t="str">
        <f t="shared" si="2"/>
        <v>USD,20210616,240470,242250,239450,241750,1,1,1</v>
      </c>
    </row>
    <row r="73" spans="1:12">
      <c r="A73" s="268">
        <v>238970</v>
      </c>
      <c r="B73" s="268">
        <v>238940</v>
      </c>
      <c r="C73" s="268">
        <v>240050</v>
      </c>
      <c r="D73" s="268">
        <v>240490</v>
      </c>
      <c r="E73">
        <v>770</v>
      </c>
      <c r="F73" s="137">
        <v>3.2000000000000002E-3</v>
      </c>
      <c r="G73" s="202">
        <v>44362</v>
      </c>
      <c r="H73" t="s">
        <v>6449</v>
      </c>
      <c r="I73" s="40" t="s">
        <v>6427</v>
      </c>
      <c r="L73" s="40" t="str">
        <f t="shared" si="2"/>
        <v>USD,20210615,239970,240050,239950,240490,1,1,1</v>
      </c>
    </row>
    <row r="74" spans="1:12">
      <c r="A74" s="268">
        <v>236830</v>
      </c>
      <c r="B74" s="268">
        <v>236140</v>
      </c>
      <c r="C74" s="268">
        <v>241050</v>
      </c>
      <c r="D74" s="268">
        <v>239720</v>
      </c>
      <c r="E74">
        <v>1310</v>
      </c>
      <c r="F74" s="137">
        <v>5.4999999999999997E-3</v>
      </c>
      <c r="G74" s="202">
        <v>44361</v>
      </c>
      <c r="H74" t="s">
        <v>6450</v>
      </c>
      <c r="I74" s="40" t="s">
        <v>6427</v>
      </c>
      <c r="L74" s="40" t="str">
        <f t="shared" si="2"/>
        <v>USD,20210614,240970,241050,238550,239720,1,1,1</v>
      </c>
    </row>
    <row r="75" spans="1:12">
      <c r="A75" s="268">
        <v>240010</v>
      </c>
      <c r="B75" s="268">
        <v>239140</v>
      </c>
      <c r="C75" s="268">
        <v>241250</v>
      </c>
      <c r="D75" s="268">
        <v>241030</v>
      </c>
      <c r="E75">
        <v>3280</v>
      </c>
      <c r="F75" s="137">
        <v>1.38E-2</v>
      </c>
      <c r="G75" s="202">
        <v>44360</v>
      </c>
      <c r="H75" t="s">
        <v>6451</v>
      </c>
      <c r="I75" s="40" t="s">
        <v>6427</v>
      </c>
      <c r="L75" s="40" t="str">
        <f t="shared" si="2"/>
        <v>USD,20210613,238970,241250,238940,241030,1,1,1</v>
      </c>
    </row>
    <row r="76" spans="1:12">
      <c r="A76" s="268">
        <v>235480</v>
      </c>
      <c r="B76" s="268">
        <v>235440</v>
      </c>
      <c r="C76" s="268">
        <v>238350</v>
      </c>
      <c r="D76" s="268">
        <v>237750</v>
      </c>
      <c r="E76">
        <v>1480</v>
      </c>
      <c r="F76" s="137">
        <v>6.1999999999999998E-3</v>
      </c>
      <c r="G76" s="202">
        <v>44359</v>
      </c>
      <c r="H76" t="s">
        <v>6452</v>
      </c>
      <c r="I76" s="40" t="s">
        <v>6427</v>
      </c>
      <c r="L76" s="40" t="str">
        <f t="shared" si="2"/>
        <v>USD,20210612,236830,238350,236140,237750,1,1,1</v>
      </c>
    </row>
    <row r="77" spans="1:12">
      <c r="A77" s="268">
        <v>235890</v>
      </c>
      <c r="B77" s="268">
        <v>234820</v>
      </c>
      <c r="C77" s="268">
        <v>240450</v>
      </c>
      <c r="D77" s="268">
        <v>239230</v>
      </c>
      <c r="E77">
        <v>2210</v>
      </c>
      <c r="F77" s="137">
        <v>9.1999999999999998E-3</v>
      </c>
      <c r="G77" s="202">
        <v>44357</v>
      </c>
      <c r="H77" t="s">
        <v>6453</v>
      </c>
      <c r="I77" s="40" t="s">
        <v>6427</v>
      </c>
      <c r="L77" s="40" t="str">
        <f t="shared" si="2"/>
        <v>USD,20210610,240010,240450,239140,239230,1,1,1</v>
      </c>
    </row>
    <row r="78" spans="1:12">
      <c r="A78" s="268">
        <v>234340</v>
      </c>
      <c r="B78" s="268">
        <v>234240</v>
      </c>
      <c r="C78" s="268">
        <v>241550</v>
      </c>
      <c r="D78" s="268">
        <v>241440</v>
      </c>
      <c r="E78">
        <v>5950</v>
      </c>
      <c r="F78" s="137">
        <v>2.53E-2</v>
      </c>
      <c r="G78" s="202">
        <v>44356</v>
      </c>
      <c r="H78" t="s">
        <v>6454</v>
      </c>
      <c r="I78" s="40" t="s">
        <v>6427</v>
      </c>
      <c r="L78" s="40" t="str">
        <f t="shared" si="2"/>
        <v>USD,20210609,235480,241550,235440,241440,1,1,1</v>
      </c>
    </row>
    <row r="79" spans="1:12">
      <c r="A79" s="268">
        <v>234330</v>
      </c>
      <c r="B79" s="268">
        <v>233900</v>
      </c>
      <c r="C79" s="268">
        <v>235960</v>
      </c>
      <c r="D79" s="268">
        <v>235490</v>
      </c>
      <c r="E79">
        <v>460</v>
      </c>
      <c r="F79" s="137">
        <v>2E-3</v>
      </c>
      <c r="G79" s="202">
        <v>44355</v>
      </c>
      <c r="H79" t="s">
        <v>6455</v>
      </c>
      <c r="I79" s="40" t="s">
        <v>6427</v>
      </c>
      <c r="L79" s="40" t="str">
        <f t="shared" si="2"/>
        <v>USD,20210608,235890,235960,234820,235490,1,1,1</v>
      </c>
    </row>
    <row r="80" spans="1:12">
      <c r="A80" s="268">
        <v>234060</v>
      </c>
      <c r="B80" s="268">
        <v>228150</v>
      </c>
      <c r="C80" s="268">
        <v>235960</v>
      </c>
      <c r="D80" s="268">
        <v>235950</v>
      </c>
      <c r="E80">
        <v>1620</v>
      </c>
      <c r="F80" s="137">
        <v>6.8999999999999999E-3</v>
      </c>
      <c r="G80" s="202">
        <v>44354</v>
      </c>
      <c r="H80" t="s">
        <v>6456</v>
      </c>
      <c r="I80" s="40" t="s">
        <v>6427</v>
      </c>
      <c r="L80" s="40" t="str">
        <f t="shared" si="2"/>
        <v>USD,20210607,234340,235960,234240,235950,1,1,1</v>
      </c>
    </row>
    <row r="81" spans="1:12">
      <c r="A81" s="268">
        <v>234000</v>
      </c>
      <c r="B81" s="268">
        <v>233970</v>
      </c>
      <c r="C81" s="268">
        <v>234350</v>
      </c>
      <c r="D81" s="268">
        <v>234330</v>
      </c>
      <c r="E81">
        <v>90</v>
      </c>
      <c r="F81" s="137">
        <v>4.0000000000000002E-4</v>
      </c>
      <c r="G81" s="202">
        <v>44350</v>
      </c>
      <c r="H81" t="s">
        <v>6457</v>
      </c>
      <c r="I81" s="40" t="s">
        <v>6427</v>
      </c>
      <c r="L81" s="40" t="str">
        <f t="shared" si="2"/>
        <v>USD,20210603,234330,234350,233900,234330,1,1,1</v>
      </c>
    </row>
    <row r="82" spans="1:12">
      <c r="A82" s="268">
        <v>238590</v>
      </c>
      <c r="B82" s="268">
        <v>232950</v>
      </c>
      <c r="C82" s="268">
        <v>234360</v>
      </c>
      <c r="D82" s="268">
        <v>234240</v>
      </c>
      <c r="E82">
        <v>80</v>
      </c>
      <c r="F82" s="137">
        <v>2.9999999999999997E-4</v>
      </c>
      <c r="G82" s="202">
        <v>44349</v>
      </c>
      <c r="H82" t="s">
        <v>6458</v>
      </c>
      <c r="I82" s="40" t="s">
        <v>6427</v>
      </c>
      <c r="L82" s="40" t="str">
        <f t="shared" si="2"/>
        <v>USD,20210602,234060,234360,228150,234240,1,1,1</v>
      </c>
    </row>
    <row r="83" spans="1:12">
      <c r="A83" s="268">
        <v>234640</v>
      </c>
      <c r="B83" s="268">
        <v>234550</v>
      </c>
      <c r="C83" s="268">
        <v>238660</v>
      </c>
      <c r="D83" s="268">
        <v>234160</v>
      </c>
      <c r="E83">
        <v>100</v>
      </c>
      <c r="F83" s="137">
        <v>4.0000000000000002E-4</v>
      </c>
      <c r="G83" s="202">
        <v>44348</v>
      </c>
      <c r="H83" t="s">
        <v>6459</v>
      </c>
      <c r="I83" s="40" t="s">
        <v>6427</v>
      </c>
      <c r="L83" s="40" t="str">
        <f t="shared" si="2"/>
        <v>USD,20210601,234000,238660,233970,234160,1,1,1</v>
      </c>
    </row>
    <row r="84" spans="1:12">
      <c r="A84" s="268">
        <v>226560</v>
      </c>
      <c r="B84" s="268">
        <v>226460</v>
      </c>
      <c r="C84" s="268">
        <v>238660</v>
      </c>
      <c r="D84" s="268">
        <v>234060</v>
      </c>
      <c r="E84">
        <v>4510</v>
      </c>
      <c r="F84" s="137">
        <v>1.9300000000000001E-2</v>
      </c>
      <c r="G84" s="202">
        <v>44347</v>
      </c>
      <c r="H84" t="s">
        <v>6460</v>
      </c>
      <c r="I84" s="40" t="s">
        <v>6427</v>
      </c>
      <c r="L84" s="40" t="str">
        <f t="shared" si="2"/>
        <v>USD,20210531,238590,238660,232950,234060,1,1,1</v>
      </c>
    </row>
    <row r="85" spans="1:12">
      <c r="A85" s="268">
        <v>225260</v>
      </c>
      <c r="B85" s="268">
        <v>225170</v>
      </c>
      <c r="C85" s="268">
        <v>238660</v>
      </c>
      <c r="D85" s="268">
        <v>238570</v>
      </c>
      <c r="E85">
        <v>3910</v>
      </c>
      <c r="F85" s="137">
        <v>1.67E-2</v>
      </c>
      <c r="G85" s="202">
        <v>44346</v>
      </c>
      <c r="H85" t="s">
        <v>6461</v>
      </c>
      <c r="I85" s="40" t="s">
        <v>6427</v>
      </c>
      <c r="L85" s="40" t="str">
        <f t="shared" si="2"/>
        <v>USD,20210530,234640,238660,234550,238570,1,1,1</v>
      </c>
    </row>
    <row r="86" spans="1:12">
      <c r="A86" s="268">
        <v>224190</v>
      </c>
      <c r="B86" s="268">
        <v>224100</v>
      </c>
      <c r="C86" s="268">
        <v>234660</v>
      </c>
      <c r="D86" s="268">
        <v>234660</v>
      </c>
      <c r="E86" t="s">
        <v>6426</v>
      </c>
      <c r="F86" t="s">
        <v>6426</v>
      </c>
      <c r="G86" s="202">
        <v>44345</v>
      </c>
      <c r="H86" t="s">
        <v>6462</v>
      </c>
      <c r="I86" s="40" t="s">
        <v>6427</v>
      </c>
      <c r="L86" s="40" t="str">
        <f t="shared" si="2"/>
        <v>USD,20210529,226560,234660,226460,234660,1,1,1</v>
      </c>
    </row>
    <row r="87" spans="1:12">
      <c r="A87" s="268">
        <v>224120</v>
      </c>
      <c r="B87" s="268">
        <v>223150</v>
      </c>
      <c r="C87" s="268">
        <v>231470</v>
      </c>
      <c r="D87" s="268">
        <v>231470</v>
      </c>
      <c r="E87">
        <v>6310</v>
      </c>
      <c r="F87" s="137">
        <v>2.8000000000000001E-2</v>
      </c>
      <c r="G87" s="202">
        <v>44343</v>
      </c>
      <c r="H87" t="s">
        <v>6463</v>
      </c>
      <c r="I87" s="40" t="s">
        <v>6427</v>
      </c>
      <c r="L87" s="40" t="str">
        <f t="shared" si="2"/>
        <v>USD,20210527,225260,231470,225170,231470,1,1,1</v>
      </c>
    </row>
    <row r="88" spans="1:12">
      <c r="A88" s="268">
        <v>223590</v>
      </c>
      <c r="B88" s="268">
        <v>223490</v>
      </c>
      <c r="C88" s="268">
        <v>225270</v>
      </c>
      <c r="D88" s="268">
        <v>225160</v>
      </c>
      <c r="E88">
        <v>1060</v>
      </c>
      <c r="F88" s="137">
        <v>4.7000000000000002E-3</v>
      </c>
      <c r="G88" s="202">
        <v>44342</v>
      </c>
      <c r="H88" t="s">
        <v>6464</v>
      </c>
      <c r="I88" s="40" t="s">
        <v>6427</v>
      </c>
      <c r="L88" s="40" t="str">
        <f t="shared" si="2"/>
        <v>USD,20210526,224190,225270,224100,225160,1,1,1</v>
      </c>
    </row>
    <row r="89" spans="1:12">
      <c r="A89" s="268">
        <v>223440</v>
      </c>
      <c r="B89" s="268">
        <v>223390</v>
      </c>
      <c r="C89" s="268">
        <v>224430</v>
      </c>
      <c r="D89" s="268">
        <v>224100</v>
      </c>
      <c r="E89">
        <v>10</v>
      </c>
      <c r="F89" t="s">
        <v>6426</v>
      </c>
      <c r="G89" s="202">
        <v>44341</v>
      </c>
      <c r="H89" t="s">
        <v>6465</v>
      </c>
      <c r="I89" s="40" t="s">
        <v>6427</v>
      </c>
      <c r="L89" s="40" t="str">
        <f t="shared" si="2"/>
        <v>USD,20210525,224120,224430,223150,224100,1,1,1</v>
      </c>
    </row>
    <row r="90" spans="1:12">
      <c r="A90" s="268">
        <v>222980</v>
      </c>
      <c r="B90" s="268">
        <v>222930</v>
      </c>
      <c r="C90" s="268">
        <v>225110</v>
      </c>
      <c r="D90" s="268">
        <v>224110</v>
      </c>
      <c r="E90">
        <v>600</v>
      </c>
      <c r="F90" s="137">
        <v>2.7000000000000001E-3</v>
      </c>
      <c r="G90" s="202">
        <v>44340</v>
      </c>
      <c r="H90" t="s">
        <v>6466</v>
      </c>
      <c r="I90" s="40" t="s">
        <v>6427</v>
      </c>
      <c r="L90" s="40" t="str">
        <f t="shared" si="2"/>
        <v>USD,20210524,223590,225110,223490,224110,1,1,1</v>
      </c>
    </row>
    <row r="91" spans="1:12">
      <c r="A91" s="268">
        <v>223990</v>
      </c>
      <c r="B91" s="268">
        <v>222930</v>
      </c>
      <c r="C91" s="268">
        <v>223990</v>
      </c>
      <c r="D91" s="268">
        <v>223510</v>
      </c>
      <c r="E91">
        <v>20</v>
      </c>
      <c r="F91" s="137">
        <v>1E-4</v>
      </c>
      <c r="G91" s="202">
        <v>44339</v>
      </c>
      <c r="H91" t="s">
        <v>6467</v>
      </c>
      <c r="I91" s="40" t="s">
        <v>6427</v>
      </c>
      <c r="L91" s="40" t="str">
        <f t="shared" si="2"/>
        <v>USD,20210523,223440,223990,223390,223510,1,1,1</v>
      </c>
    </row>
    <row r="92" spans="1:12">
      <c r="A92" s="268">
        <v>225270</v>
      </c>
      <c r="B92" s="268">
        <v>221720</v>
      </c>
      <c r="C92" s="268">
        <v>223550</v>
      </c>
      <c r="D92" s="268">
        <v>223490</v>
      </c>
      <c r="E92">
        <v>490</v>
      </c>
      <c r="F92" s="137">
        <v>2.2000000000000001E-3</v>
      </c>
      <c r="G92" s="202">
        <v>44338</v>
      </c>
      <c r="H92" t="s">
        <v>6468</v>
      </c>
      <c r="I92" s="40" t="s">
        <v>6427</v>
      </c>
      <c r="L92" s="40" t="str">
        <f t="shared" si="2"/>
        <v>USD,20210522,222980,223550,222930,223490,1,1,1</v>
      </c>
    </row>
    <row r="93" spans="1:12">
      <c r="A93" s="268">
        <v>222240</v>
      </c>
      <c r="B93" s="268">
        <v>222140</v>
      </c>
      <c r="C93" s="268">
        <v>224020</v>
      </c>
      <c r="D93" s="268">
        <v>223000</v>
      </c>
      <c r="E93">
        <v>1210</v>
      </c>
      <c r="F93" s="137">
        <v>5.4999999999999997E-3</v>
      </c>
      <c r="G93" s="202">
        <v>44336</v>
      </c>
      <c r="H93" t="s">
        <v>6469</v>
      </c>
      <c r="I93" s="40" t="s">
        <v>6427</v>
      </c>
      <c r="L93" s="40" t="str">
        <f t="shared" si="2"/>
        <v>USD,20210520,223990,224020,222930,223000,1,1,1</v>
      </c>
    </row>
    <row r="94" spans="1:12">
      <c r="A94" s="268">
        <v>224160</v>
      </c>
      <c r="B94" s="268">
        <v>222140</v>
      </c>
      <c r="C94" s="268">
        <v>225380</v>
      </c>
      <c r="D94" s="268">
        <v>221790</v>
      </c>
      <c r="E94">
        <v>3550</v>
      </c>
      <c r="F94" s="137">
        <v>1.6E-2</v>
      </c>
      <c r="G94" s="202">
        <v>44335</v>
      </c>
      <c r="H94" t="s">
        <v>6470</v>
      </c>
      <c r="I94" s="40" t="s">
        <v>6427</v>
      </c>
      <c r="L94" s="40" t="str">
        <f t="shared" si="2"/>
        <v>USD,20210519,225270,225380,221720,221790,1,1,1</v>
      </c>
    </row>
    <row r="95" spans="1:12">
      <c r="A95" s="268">
        <v>220520</v>
      </c>
      <c r="B95" s="268">
        <v>220410</v>
      </c>
      <c r="C95" s="268">
        <v>225380</v>
      </c>
      <c r="D95" s="268">
        <v>225340</v>
      </c>
      <c r="E95">
        <v>3150</v>
      </c>
      <c r="F95" s="137">
        <v>1.4200000000000001E-2</v>
      </c>
      <c r="G95" s="202">
        <v>44334</v>
      </c>
      <c r="H95" t="s">
        <v>6472</v>
      </c>
      <c r="I95" s="40" t="s">
        <v>6427</v>
      </c>
      <c r="L95" s="40" t="str">
        <f t="shared" si="2"/>
        <v>USD,20210518,222240,225380,222140,225340,1,1,1</v>
      </c>
    </row>
    <row r="96" spans="1:12">
      <c r="A96" s="268">
        <v>220760</v>
      </c>
      <c r="B96" s="268">
        <v>220410</v>
      </c>
      <c r="C96" s="268">
        <v>225270</v>
      </c>
      <c r="D96" s="268">
        <v>222190</v>
      </c>
      <c r="E96">
        <v>1950</v>
      </c>
      <c r="F96" s="137">
        <v>8.8000000000000005E-3</v>
      </c>
      <c r="G96" s="202">
        <v>44333</v>
      </c>
      <c r="H96" t="s">
        <v>6473</v>
      </c>
      <c r="I96" s="40" t="s">
        <v>6427</v>
      </c>
      <c r="L96" s="40" t="str">
        <f t="shared" si="2"/>
        <v>USD,20210517,224160,225270,222140,222190,1,1,1</v>
      </c>
    </row>
    <row r="97" spans="1:12">
      <c r="A97" s="268">
        <v>219790</v>
      </c>
      <c r="B97" s="268">
        <v>216130</v>
      </c>
      <c r="C97" s="268">
        <v>224160</v>
      </c>
      <c r="D97" s="268">
        <v>224140</v>
      </c>
      <c r="E97">
        <v>3640</v>
      </c>
      <c r="F97" s="137">
        <v>1.6500000000000001E-2</v>
      </c>
      <c r="G97" s="202">
        <v>44332</v>
      </c>
      <c r="H97" t="s">
        <v>6474</v>
      </c>
      <c r="I97" s="40" t="s">
        <v>6427</v>
      </c>
      <c r="L97" s="40" t="str">
        <f t="shared" si="2"/>
        <v>USD,20210516,220520,224160,220410,224140,1,1,1</v>
      </c>
    </row>
    <row r="98" spans="1:12">
      <c r="A98" s="268">
        <v>221860</v>
      </c>
      <c r="B98" s="268">
        <v>219750</v>
      </c>
      <c r="C98" s="268">
        <v>221880</v>
      </c>
      <c r="D98" s="268">
        <v>220500</v>
      </c>
      <c r="E98">
        <v>4370</v>
      </c>
      <c r="F98" s="137">
        <v>2.0199999999999999E-2</v>
      </c>
      <c r="G98" s="202">
        <v>44331</v>
      </c>
      <c r="H98" t="s">
        <v>6475</v>
      </c>
      <c r="I98" s="40" t="s">
        <v>6427</v>
      </c>
      <c r="L98" s="40" t="str">
        <f t="shared" si="2"/>
        <v>USD,20210515,220760,221880,220410,220500,1,1,1</v>
      </c>
    </row>
    <row r="99" spans="1:12">
      <c r="A99" s="268">
        <v>216080</v>
      </c>
      <c r="B99" s="268">
        <v>216080</v>
      </c>
      <c r="C99" s="268">
        <v>219860</v>
      </c>
      <c r="D99" s="268">
        <v>216130</v>
      </c>
      <c r="E99">
        <v>3620</v>
      </c>
      <c r="F99" s="137">
        <v>1.67E-2</v>
      </c>
      <c r="G99" s="202">
        <v>44329</v>
      </c>
      <c r="H99" t="s">
        <v>6476</v>
      </c>
      <c r="I99" s="40" t="s">
        <v>6427</v>
      </c>
      <c r="L99" s="40" t="str">
        <f t="shared" si="2"/>
        <v>USD,20210513,219790,219860,216130,216130,1,1,1</v>
      </c>
    </row>
    <row r="100" spans="1:12">
      <c r="A100" s="268">
        <v>207240</v>
      </c>
      <c r="B100" s="268">
        <v>207190</v>
      </c>
      <c r="C100" s="268">
        <v>221950</v>
      </c>
      <c r="D100" s="268">
        <v>219750</v>
      </c>
      <c r="E100">
        <v>2100</v>
      </c>
      <c r="F100" s="137">
        <v>9.5999999999999992E-3</v>
      </c>
      <c r="G100" s="202">
        <v>44328</v>
      </c>
      <c r="H100" t="s">
        <v>6477</v>
      </c>
      <c r="I100" s="40" t="s">
        <v>6427</v>
      </c>
      <c r="L100" s="40" t="str">
        <f t="shared" si="2"/>
        <v>USD,20210512,221860,221950,219750,219750,1,1,1</v>
      </c>
    </row>
    <row r="101" spans="1:12">
      <c r="A101" s="268">
        <v>206450</v>
      </c>
      <c r="B101" s="268">
        <v>206370</v>
      </c>
      <c r="C101" s="268">
        <v>223410</v>
      </c>
      <c r="D101" s="268">
        <v>221850</v>
      </c>
      <c r="E101">
        <v>5720</v>
      </c>
      <c r="F101" s="137">
        <v>2.6499999999999999E-2</v>
      </c>
      <c r="G101" s="202">
        <v>44327</v>
      </c>
      <c r="H101" t="s">
        <v>6478</v>
      </c>
      <c r="I101" s="40" t="s">
        <v>6427</v>
      </c>
      <c r="L101" s="40" t="str">
        <f t="shared" si="2"/>
        <v>USD,20210511,216080,223410,216080,221850,1,1,1</v>
      </c>
    </row>
    <row r="102" spans="1:12">
      <c r="A102" s="268">
        <v>206390</v>
      </c>
      <c r="B102" s="268">
        <v>206370</v>
      </c>
      <c r="C102" s="268">
        <v>217040</v>
      </c>
      <c r="D102" s="268">
        <v>216130</v>
      </c>
      <c r="E102">
        <v>8870</v>
      </c>
      <c r="F102" s="137">
        <v>4.2799999999999998E-2</v>
      </c>
      <c r="G102" s="202">
        <v>44326</v>
      </c>
      <c r="H102" t="s">
        <v>6479</v>
      </c>
      <c r="I102" s="40" t="s">
        <v>6427</v>
      </c>
      <c r="L102" s="40" t="str">
        <f t="shared" si="2"/>
        <v>USD,20210510,207240,217040,207190,216130,1,1,1</v>
      </c>
    </row>
    <row r="103" spans="1:12">
      <c r="A103" s="268">
        <v>206440</v>
      </c>
      <c r="B103" s="268">
        <v>206370</v>
      </c>
      <c r="C103" s="268">
        <v>207300</v>
      </c>
      <c r="D103" s="268">
        <v>207260</v>
      </c>
      <c r="E103">
        <v>890</v>
      </c>
      <c r="F103" s="137">
        <v>4.3E-3</v>
      </c>
      <c r="G103" s="202">
        <v>44325</v>
      </c>
      <c r="H103" t="s">
        <v>6480</v>
      </c>
      <c r="I103" s="40" t="s">
        <v>6427</v>
      </c>
      <c r="L103" s="40" t="str">
        <f t="shared" si="2"/>
        <v>USD,20210509,206450,207300,206370,207260,1,1,1</v>
      </c>
    </row>
    <row r="104" spans="1:12">
      <c r="A104" s="268">
        <v>214080</v>
      </c>
      <c r="B104" s="268">
        <v>206210</v>
      </c>
      <c r="C104" s="268">
        <v>206480</v>
      </c>
      <c r="D104" s="268">
        <v>206370</v>
      </c>
      <c r="E104">
        <v>110</v>
      </c>
      <c r="F104" s="137">
        <v>5.0000000000000001E-4</v>
      </c>
      <c r="G104" s="202">
        <v>44324</v>
      </c>
      <c r="H104" t="s">
        <v>6481</v>
      </c>
      <c r="I104" s="40" t="s">
        <v>6427</v>
      </c>
      <c r="L104" s="40" t="str">
        <f t="shared" si="2"/>
        <v>USD,20210508,206390,206480,206370,206370,1,1,1</v>
      </c>
    </row>
    <row r="105" spans="1:12">
      <c r="A105" s="268">
        <v>218430</v>
      </c>
      <c r="B105" s="268">
        <v>217260</v>
      </c>
      <c r="C105" s="268">
        <v>206480</v>
      </c>
      <c r="D105" s="268">
        <v>206480</v>
      </c>
      <c r="E105">
        <v>2970</v>
      </c>
      <c r="F105" s="137">
        <v>1.44E-2</v>
      </c>
      <c r="G105" s="202">
        <v>44322</v>
      </c>
      <c r="H105" t="s">
        <v>6482</v>
      </c>
      <c r="I105" s="40" t="s">
        <v>6427</v>
      </c>
      <c r="L105" s="40" t="str">
        <f t="shared" si="2"/>
        <v>USD,20210506,206440,206480,206370,206480,1,1,1</v>
      </c>
    </row>
    <row r="106" spans="1:12">
      <c r="A106" s="268">
        <v>229110</v>
      </c>
      <c r="B106" s="268">
        <v>218380</v>
      </c>
      <c r="C106" s="268">
        <v>214080</v>
      </c>
      <c r="D106" s="268">
        <v>209450</v>
      </c>
      <c r="E106">
        <v>7860</v>
      </c>
      <c r="F106" s="137">
        <v>3.7499999999999999E-2</v>
      </c>
      <c r="G106" s="202">
        <v>44321</v>
      </c>
      <c r="H106" t="s">
        <v>6483</v>
      </c>
      <c r="I106" s="40" t="s">
        <v>6427</v>
      </c>
      <c r="L106" s="40" t="str">
        <f t="shared" si="2"/>
        <v>USD,20210505,214080,214080,206210,209450,1,1,1</v>
      </c>
    </row>
    <row r="107" spans="1:12">
      <c r="A107" s="268">
        <v>232340</v>
      </c>
      <c r="B107" s="268">
        <v>229020</v>
      </c>
      <c r="C107" s="268">
        <v>218490</v>
      </c>
      <c r="D107" s="268">
        <v>217310</v>
      </c>
      <c r="E107">
        <v>1070</v>
      </c>
      <c r="F107" s="137">
        <v>4.8999999999999998E-3</v>
      </c>
      <c r="G107" s="202">
        <v>44319</v>
      </c>
      <c r="H107" t="s">
        <v>6484</v>
      </c>
      <c r="I107" s="40" t="s">
        <v>6427</v>
      </c>
      <c r="L107" s="40" t="str">
        <f t="shared" si="2"/>
        <v>USD,20210503,218430,218490,217260,217310,1,1,1</v>
      </c>
    </row>
    <row r="108" spans="1:12">
      <c r="A108" s="268">
        <v>232410</v>
      </c>
      <c r="B108" s="268">
        <v>232310</v>
      </c>
      <c r="C108" s="268">
        <v>229130</v>
      </c>
      <c r="D108" s="268">
        <v>218380</v>
      </c>
      <c r="E108">
        <v>10720</v>
      </c>
      <c r="F108" s="137">
        <v>4.9099999999999998E-2</v>
      </c>
      <c r="G108" s="202">
        <v>44318</v>
      </c>
      <c r="H108" t="s">
        <v>6485</v>
      </c>
      <c r="I108" s="40" t="s">
        <v>6427</v>
      </c>
      <c r="L108" s="40" t="str">
        <f t="shared" si="2"/>
        <v>USD,20210502,229110,229130,218380,218380,1,1,1</v>
      </c>
    </row>
    <row r="109" spans="1:12">
      <c r="A109" s="268">
        <v>232640</v>
      </c>
      <c r="B109" s="268">
        <v>232310</v>
      </c>
      <c r="C109" s="268">
        <v>232420</v>
      </c>
      <c r="D109" s="268">
        <v>229100</v>
      </c>
      <c r="E109">
        <v>3210</v>
      </c>
      <c r="F109" s="137">
        <v>1.4E-2</v>
      </c>
      <c r="G109" s="202">
        <v>44317</v>
      </c>
      <c r="H109" t="s">
        <v>6486</v>
      </c>
      <c r="I109" s="40" t="s">
        <v>6427</v>
      </c>
      <c r="L109" s="40" t="str">
        <f t="shared" si="2"/>
        <v>USD,20210501,232340,232420,229020,229100,1,1,1</v>
      </c>
    </row>
    <row r="110" spans="1:12">
      <c r="A110" s="268">
        <v>232770</v>
      </c>
      <c r="B110" s="268">
        <v>232540</v>
      </c>
      <c r="C110" s="268">
        <v>232420</v>
      </c>
      <c r="D110" s="268">
        <v>232310</v>
      </c>
      <c r="E110">
        <v>20</v>
      </c>
      <c r="F110" s="137">
        <v>1E-4</v>
      </c>
      <c r="G110" s="202">
        <v>44315</v>
      </c>
      <c r="H110" t="s">
        <v>6487</v>
      </c>
      <c r="I110" s="40" t="s">
        <v>6427</v>
      </c>
      <c r="L110" s="40" t="str">
        <f t="shared" si="2"/>
        <v>USD,20210429,232410,232420,232310,232310,1,1,1</v>
      </c>
    </row>
    <row r="111" spans="1:12">
      <c r="A111" s="268">
        <v>233380</v>
      </c>
      <c r="B111" s="268">
        <v>232750</v>
      </c>
      <c r="C111" s="268">
        <v>232650</v>
      </c>
      <c r="D111" s="268">
        <v>232330</v>
      </c>
      <c r="E111">
        <v>280</v>
      </c>
      <c r="F111" s="137">
        <v>1.1999999999999999E-3</v>
      </c>
      <c r="G111" s="202">
        <v>44314</v>
      </c>
      <c r="H111" t="s">
        <v>6488</v>
      </c>
      <c r="I111" s="40" t="s">
        <v>6427</v>
      </c>
      <c r="L111" s="40" t="str">
        <f t="shared" si="2"/>
        <v>USD,20210428,232640,232650,232310,232330,1,1,1</v>
      </c>
    </row>
    <row r="112" spans="1:12">
      <c r="A112" s="268">
        <v>233280</v>
      </c>
      <c r="B112" s="268">
        <v>233280</v>
      </c>
      <c r="C112" s="268">
        <v>234090</v>
      </c>
      <c r="D112" s="268">
        <v>232610</v>
      </c>
      <c r="E112">
        <v>150</v>
      </c>
      <c r="F112" s="137">
        <v>5.9999999999999995E-4</v>
      </c>
      <c r="G112" s="202">
        <v>44313</v>
      </c>
      <c r="H112" t="s">
        <v>6489</v>
      </c>
      <c r="I112" s="40" t="s">
        <v>6427</v>
      </c>
      <c r="L112" s="40" t="str">
        <f t="shared" si="2"/>
        <v>USD,20210427,232770,234090,232540,232610,1,1,1</v>
      </c>
    </row>
    <row r="113" spans="1:12">
      <c r="A113" s="268">
        <v>233350</v>
      </c>
      <c r="B113" s="268">
        <v>233280</v>
      </c>
      <c r="C113" s="268">
        <v>233390</v>
      </c>
      <c r="D113" s="268">
        <v>232760</v>
      </c>
      <c r="E113">
        <v>630</v>
      </c>
      <c r="F113" s="137">
        <v>2.7000000000000001E-3</v>
      </c>
      <c r="G113" s="202">
        <v>44312</v>
      </c>
      <c r="H113" t="s">
        <v>6490</v>
      </c>
      <c r="I113" s="40" t="s">
        <v>6427</v>
      </c>
      <c r="L113" s="40" t="str">
        <f t="shared" si="2"/>
        <v>USD,20210426,233380,233390,232750,232760,1,1,1</v>
      </c>
    </row>
    <row r="114" spans="1:12">
      <c r="A114" s="268">
        <v>233750</v>
      </c>
      <c r="B114" s="268">
        <v>233280</v>
      </c>
      <c r="C114" s="268">
        <v>233390</v>
      </c>
      <c r="D114" s="268">
        <v>233390</v>
      </c>
      <c r="E114">
        <v>20</v>
      </c>
      <c r="F114" s="137">
        <v>1E-4</v>
      </c>
      <c r="G114" s="202">
        <v>44311</v>
      </c>
      <c r="H114" t="s">
        <v>6491</v>
      </c>
      <c r="I114" s="40" t="s">
        <v>6427</v>
      </c>
      <c r="L114" s="40" t="str">
        <f t="shared" si="2"/>
        <v>USD,20210425,233280,233390,233280,233390,1,1,1</v>
      </c>
    </row>
    <row r="115" spans="1:12">
      <c r="A115" s="268">
        <v>233650</v>
      </c>
      <c r="B115" s="268">
        <v>233640</v>
      </c>
      <c r="C115" s="268">
        <v>233390</v>
      </c>
      <c r="D115" s="268">
        <v>233370</v>
      </c>
      <c r="E115">
        <v>70</v>
      </c>
      <c r="F115" s="137">
        <v>2.9999999999999997E-4</v>
      </c>
      <c r="G115" s="202">
        <v>44310</v>
      </c>
      <c r="H115" t="s">
        <v>6492</v>
      </c>
      <c r="I115" s="40" t="s">
        <v>6427</v>
      </c>
      <c r="L115" s="40" t="str">
        <f t="shared" si="2"/>
        <v>USD,20210424,233350,233390,233280,233370,1,1,1</v>
      </c>
    </row>
    <row r="116" spans="1:12">
      <c r="A116" s="268">
        <v>238190</v>
      </c>
      <c r="B116" s="268">
        <v>233640</v>
      </c>
      <c r="C116" s="268">
        <v>233750</v>
      </c>
      <c r="D116" s="268">
        <v>233300</v>
      </c>
      <c r="E116">
        <v>390</v>
      </c>
      <c r="F116" s="137">
        <v>1.6999999999999999E-3</v>
      </c>
      <c r="G116" s="202">
        <v>44308</v>
      </c>
      <c r="H116" t="s">
        <v>6471</v>
      </c>
      <c r="I116" s="40" t="s">
        <v>6427</v>
      </c>
      <c r="L116" s="40" t="str">
        <f t="shared" si="2"/>
        <v>USD,20210422,233750,233750,233280,233300,1,1,1</v>
      </c>
    </row>
    <row r="117" spans="1:12">
      <c r="A117" s="268">
        <v>238830</v>
      </c>
      <c r="B117" s="268">
        <v>238170</v>
      </c>
      <c r="C117" s="268">
        <v>233750</v>
      </c>
      <c r="D117" s="268">
        <v>233690</v>
      </c>
      <c r="E117">
        <v>50</v>
      </c>
      <c r="F117" s="137">
        <v>2.0000000000000001E-4</v>
      </c>
      <c r="G117" s="202">
        <v>44307</v>
      </c>
      <c r="H117" t="s">
        <v>6493</v>
      </c>
      <c r="I117" s="40" t="s">
        <v>6427</v>
      </c>
      <c r="L117" s="40" t="str">
        <f t="shared" si="2"/>
        <v>USD,20210421,233650,233750,233640,233690,1,1,1</v>
      </c>
    </row>
    <row r="118" spans="1:12">
      <c r="A118" s="268">
        <v>239900</v>
      </c>
      <c r="B118" s="268">
        <v>238750</v>
      </c>
      <c r="C118" s="268">
        <v>238280</v>
      </c>
      <c r="D118" s="268">
        <v>233740</v>
      </c>
      <c r="E118">
        <v>4430</v>
      </c>
      <c r="F118" s="137">
        <v>1.9E-2</v>
      </c>
      <c r="G118" s="202">
        <v>44306</v>
      </c>
      <c r="H118" t="s">
        <v>6494</v>
      </c>
      <c r="I118" s="40" t="s">
        <v>6427</v>
      </c>
      <c r="L118" s="40" t="str">
        <f t="shared" si="2"/>
        <v>USD,20210420,238190,238280,233640,233740,1,1,1</v>
      </c>
    </row>
    <row r="119" spans="1:12">
      <c r="A119" s="268">
        <v>239930</v>
      </c>
      <c r="B119" s="268">
        <v>239860</v>
      </c>
      <c r="C119" s="268">
        <v>238860</v>
      </c>
      <c r="D119" s="268">
        <v>238170</v>
      </c>
      <c r="E119">
        <v>650</v>
      </c>
      <c r="F119" s="137">
        <v>2.7000000000000001E-3</v>
      </c>
      <c r="G119" s="202">
        <v>44305</v>
      </c>
      <c r="H119" t="s">
        <v>6495</v>
      </c>
      <c r="I119" s="40" t="s">
        <v>6427</v>
      </c>
      <c r="L119" s="40" t="str">
        <f t="shared" ref="L119:L182" si="3">CONCATENATE("USD",I119,TEXT(G119,"yyyymmdd"),I119,A117,I119,C119,I119,B117,I119,D119,I119,"1,1,1")</f>
        <v>USD,20210419,238830,238860,238170,238170,1,1,1</v>
      </c>
    </row>
    <row r="120" spans="1:12">
      <c r="A120" s="268">
        <v>240920</v>
      </c>
      <c r="B120" s="268">
        <v>239860</v>
      </c>
      <c r="C120" s="268">
        <v>240000</v>
      </c>
      <c r="D120" s="268">
        <v>238820</v>
      </c>
      <c r="E120">
        <v>1110</v>
      </c>
      <c r="F120" s="137">
        <v>4.5999999999999999E-3</v>
      </c>
      <c r="G120" s="202">
        <v>44304</v>
      </c>
      <c r="H120" t="s">
        <v>6496</v>
      </c>
      <c r="I120" s="40" t="s">
        <v>6427</v>
      </c>
      <c r="L120" s="40" t="str">
        <f t="shared" si="3"/>
        <v>USD,20210418,239900,240000,238750,238820,1,1,1</v>
      </c>
    </row>
    <row r="121" spans="1:12">
      <c r="A121" s="268">
        <v>240800</v>
      </c>
      <c r="B121" s="268">
        <v>240790</v>
      </c>
      <c r="C121" s="268">
        <v>240000</v>
      </c>
      <c r="D121" s="268">
        <v>239930</v>
      </c>
      <c r="E121">
        <v>60</v>
      </c>
      <c r="F121" s="137">
        <v>2.9999999999999997E-4</v>
      </c>
      <c r="G121" s="202">
        <v>44303</v>
      </c>
      <c r="H121" t="s">
        <v>6497</v>
      </c>
      <c r="I121" s="40" t="s">
        <v>6427</v>
      </c>
      <c r="L121" s="40" t="str">
        <f t="shared" si="3"/>
        <v>USD,20210417,239930,240000,239860,239930,1,1,1</v>
      </c>
    </row>
    <row r="122" spans="1:12">
      <c r="A122" s="268">
        <v>243020</v>
      </c>
      <c r="B122" s="268">
        <v>240790</v>
      </c>
      <c r="C122" s="268">
        <v>241010</v>
      </c>
      <c r="D122" s="268">
        <v>239870</v>
      </c>
      <c r="E122">
        <v>2480</v>
      </c>
      <c r="F122" s="137">
        <v>1.03E-2</v>
      </c>
      <c r="G122" s="202">
        <v>44301</v>
      </c>
      <c r="H122" t="s">
        <v>6498</v>
      </c>
      <c r="I122" s="40" t="s">
        <v>6427</v>
      </c>
      <c r="L122" s="40" t="str">
        <f t="shared" si="3"/>
        <v>USD,20210415,240920,241010,239860,239870,1,1,1</v>
      </c>
    </row>
    <row r="123" spans="1:12">
      <c r="A123" s="268">
        <v>242920</v>
      </c>
      <c r="B123" s="268">
        <v>242520</v>
      </c>
      <c r="C123" s="268">
        <v>242390</v>
      </c>
      <c r="D123" s="268">
        <v>242350</v>
      </c>
      <c r="E123">
        <v>1450</v>
      </c>
      <c r="F123" s="137">
        <v>6.0000000000000001E-3</v>
      </c>
      <c r="G123" s="202">
        <v>44300</v>
      </c>
      <c r="H123" t="s">
        <v>6499</v>
      </c>
      <c r="I123" s="40" t="s">
        <v>6427</v>
      </c>
      <c r="L123" s="40" t="str">
        <f t="shared" si="3"/>
        <v>USD,20210414,240800,242390,240790,242350,1,1,1</v>
      </c>
    </row>
    <row r="124" spans="1:12">
      <c r="A124" s="268">
        <v>241950</v>
      </c>
      <c r="B124" s="268">
        <v>241860</v>
      </c>
      <c r="C124" s="268">
        <v>243060</v>
      </c>
      <c r="D124" s="268">
        <v>240900</v>
      </c>
      <c r="E124">
        <v>2060</v>
      </c>
      <c r="F124" s="137">
        <v>8.6E-3</v>
      </c>
      <c r="G124" s="202">
        <v>44299</v>
      </c>
      <c r="H124" t="s">
        <v>6500</v>
      </c>
      <c r="I124" s="40" t="s">
        <v>6427</v>
      </c>
      <c r="L124" s="40" t="str">
        <f t="shared" si="3"/>
        <v>USD,20210413,243020,243060,240790,240900,1,1,1</v>
      </c>
    </row>
    <row r="125" spans="1:12">
      <c r="A125" s="268">
        <v>242890</v>
      </c>
      <c r="B125" s="268">
        <v>241860</v>
      </c>
      <c r="C125" s="268">
        <v>243740</v>
      </c>
      <c r="D125" s="268">
        <v>242960</v>
      </c>
      <c r="E125">
        <v>110</v>
      </c>
      <c r="F125" s="137">
        <v>5.0000000000000001E-4</v>
      </c>
      <c r="G125" s="202">
        <v>44298</v>
      </c>
      <c r="H125" t="s">
        <v>6501</v>
      </c>
      <c r="I125" s="40" t="s">
        <v>6427</v>
      </c>
      <c r="L125" s="40" t="str">
        <f t="shared" si="3"/>
        <v>USD,20210412,242920,243740,242520,242960,1,1,1</v>
      </c>
    </row>
    <row r="126" spans="1:12">
      <c r="A126" s="268">
        <v>244730</v>
      </c>
      <c r="B126" s="268">
        <v>244620</v>
      </c>
      <c r="C126" s="268">
        <v>243930</v>
      </c>
      <c r="D126" s="268">
        <v>242850</v>
      </c>
      <c r="E126">
        <v>970</v>
      </c>
      <c r="F126" s="137">
        <v>4.0000000000000001E-3</v>
      </c>
      <c r="G126" s="202">
        <v>44297</v>
      </c>
      <c r="H126" t="s">
        <v>6502</v>
      </c>
      <c r="I126" s="40" t="s">
        <v>6427</v>
      </c>
      <c r="L126" s="40" t="str">
        <f t="shared" si="3"/>
        <v>USD,20210411,241950,243930,241860,242850,1,1,1</v>
      </c>
    </row>
    <row r="127" spans="1:12">
      <c r="A127" s="268">
        <v>247150</v>
      </c>
      <c r="B127" s="268">
        <v>244620</v>
      </c>
      <c r="C127" s="268">
        <v>243570</v>
      </c>
      <c r="D127" s="268">
        <v>241880</v>
      </c>
      <c r="E127">
        <v>2780</v>
      </c>
      <c r="F127" s="137">
        <v>1.15E-2</v>
      </c>
      <c r="G127" s="202">
        <v>44296</v>
      </c>
      <c r="H127" t="s">
        <v>6503</v>
      </c>
      <c r="I127" s="40" t="s">
        <v>6427</v>
      </c>
      <c r="L127" s="40" t="str">
        <f t="shared" si="3"/>
        <v>USD,20210410,242890,243570,241860,241880,1,1,1</v>
      </c>
    </row>
    <row r="128" spans="1:12">
      <c r="A128" s="268">
        <v>244100</v>
      </c>
      <c r="B128" s="268">
        <v>244010</v>
      </c>
      <c r="C128" s="268">
        <v>244730</v>
      </c>
      <c r="D128" s="268">
        <v>244660</v>
      </c>
      <c r="E128">
        <v>40</v>
      </c>
      <c r="F128" s="137">
        <v>2.0000000000000001E-4</v>
      </c>
      <c r="G128" s="202">
        <v>44294</v>
      </c>
      <c r="H128" t="s">
        <v>6504</v>
      </c>
      <c r="I128" s="40" t="s">
        <v>6427</v>
      </c>
      <c r="L128" s="40" t="str">
        <f t="shared" si="3"/>
        <v>USD,20210408,244730,244730,244620,244660,1,1,1</v>
      </c>
    </row>
    <row r="129" spans="1:12">
      <c r="A129" s="268">
        <v>242660</v>
      </c>
      <c r="B129" s="268">
        <v>242630</v>
      </c>
      <c r="C129" s="268">
        <v>247170</v>
      </c>
      <c r="D129" s="268">
        <v>244620</v>
      </c>
      <c r="E129">
        <v>2490</v>
      </c>
      <c r="F129" s="137">
        <v>1.0200000000000001E-2</v>
      </c>
      <c r="G129" s="202">
        <v>44293</v>
      </c>
      <c r="H129" t="s">
        <v>6505</v>
      </c>
      <c r="I129" s="40" t="s">
        <v>6427</v>
      </c>
      <c r="L129" s="40" t="str">
        <f t="shared" si="3"/>
        <v>USD,20210407,247150,247170,244620,244620,1,1,1</v>
      </c>
    </row>
    <row r="130" spans="1:12">
      <c r="A130" s="268">
        <v>244700</v>
      </c>
      <c r="B130" s="268">
        <v>242630</v>
      </c>
      <c r="C130" s="268">
        <v>247170</v>
      </c>
      <c r="D130" s="268">
        <v>247110</v>
      </c>
      <c r="E130">
        <v>3060</v>
      </c>
      <c r="F130" s="137">
        <v>1.2500000000000001E-2</v>
      </c>
      <c r="G130" s="202">
        <v>44292</v>
      </c>
      <c r="H130" t="s">
        <v>6506</v>
      </c>
      <c r="I130" s="40" t="s">
        <v>6427</v>
      </c>
      <c r="L130" s="40" t="str">
        <f t="shared" si="3"/>
        <v>USD,20210406,244100,247170,244010,247110,1,1,1</v>
      </c>
    </row>
    <row r="131" spans="1:12">
      <c r="A131" s="268">
        <v>252010</v>
      </c>
      <c r="B131" s="268">
        <v>244600</v>
      </c>
      <c r="C131" s="268">
        <v>245310</v>
      </c>
      <c r="D131" s="268">
        <v>244050</v>
      </c>
      <c r="E131">
        <v>1330</v>
      </c>
      <c r="F131" s="137">
        <v>5.4999999999999997E-3</v>
      </c>
      <c r="G131" s="202">
        <v>44291</v>
      </c>
      <c r="H131" t="s">
        <v>6507</v>
      </c>
      <c r="I131" s="40" t="s">
        <v>6427</v>
      </c>
      <c r="L131" s="40" t="str">
        <f t="shared" si="3"/>
        <v>USD,20210405,242660,245310,242630,244050,1,1,1</v>
      </c>
    </row>
    <row r="132" spans="1:12">
      <c r="A132" s="268">
        <v>252040</v>
      </c>
      <c r="B132" s="268">
        <v>251990</v>
      </c>
      <c r="C132" s="268">
        <v>244710</v>
      </c>
      <c r="D132" s="268">
        <v>242720</v>
      </c>
      <c r="E132">
        <v>1930</v>
      </c>
      <c r="F132" s="137">
        <v>8.0000000000000002E-3</v>
      </c>
      <c r="G132" s="202">
        <v>44290</v>
      </c>
      <c r="H132" t="s">
        <v>6508</v>
      </c>
      <c r="I132" s="40" t="s">
        <v>6427</v>
      </c>
      <c r="L132" s="40" t="str">
        <f t="shared" si="3"/>
        <v>USD,20210404,244700,244710,242630,242720,1,1,1</v>
      </c>
    </row>
    <row r="133" spans="1:12">
      <c r="A133" s="268">
        <v>252550</v>
      </c>
      <c r="B133" s="268">
        <v>251990</v>
      </c>
      <c r="C133" s="268">
        <v>252100</v>
      </c>
      <c r="D133" s="268">
        <v>244650</v>
      </c>
      <c r="E133">
        <v>7450</v>
      </c>
      <c r="F133" s="137">
        <v>3.0499999999999999E-2</v>
      </c>
      <c r="G133" s="202">
        <v>44289</v>
      </c>
      <c r="H133" t="s">
        <v>6509</v>
      </c>
      <c r="I133" s="40" t="s">
        <v>6427</v>
      </c>
      <c r="L133" s="40" t="str">
        <f t="shared" si="3"/>
        <v>USD,20210403,252010,252100,244600,244650,1,1,1</v>
      </c>
    </row>
    <row r="134" spans="1:12">
      <c r="A134" s="268">
        <v>252340</v>
      </c>
      <c r="B134" s="268">
        <v>252240</v>
      </c>
      <c r="C134" s="268">
        <v>252100</v>
      </c>
      <c r="D134" s="268">
        <v>252100</v>
      </c>
      <c r="E134">
        <v>60</v>
      </c>
      <c r="F134" s="137">
        <v>2.0000000000000001E-4</v>
      </c>
      <c r="G134" s="202">
        <v>44287</v>
      </c>
      <c r="H134" t="s">
        <v>6510</v>
      </c>
      <c r="I134" s="40" t="s">
        <v>6427</v>
      </c>
      <c r="L134" s="40" t="str">
        <f t="shared" si="3"/>
        <v>USD,20210401,252040,252100,251990,252100,1,1,1</v>
      </c>
    </row>
    <row r="135" spans="1:12">
      <c r="A135" s="268">
        <v>247510</v>
      </c>
      <c r="B135" s="268">
        <v>247470</v>
      </c>
      <c r="C135" s="268">
        <v>252550</v>
      </c>
      <c r="D135" s="268">
        <v>252040</v>
      </c>
      <c r="E135">
        <v>500</v>
      </c>
      <c r="F135" s="137">
        <v>2E-3</v>
      </c>
      <c r="G135" s="202">
        <v>44286</v>
      </c>
      <c r="H135" t="s">
        <v>6511</v>
      </c>
      <c r="I135" s="40" t="s">
        <v>6427</v>
      </c>
      <c r="L135" s="40" t="str">
        <f t="shared" si="3"/>
        <v>USD,20210331,252550,252550,251990,252040,1,1,1</v>
      </c>
    </row>
    <row r="136" spans="1:12">
      <c r="A136" s="268">
        <v>239640</v>
      </c>
      <c r="B136" s="268">
        <v>239550</v>
      </c>
      <c r="C136" s="268">
        <v>257120</v>
      </c>
      <c r="D136" s="268">
        <v>252540</v>
      </c>
      <c r="E136">
        <v>210</v>
      </c>
      <c r="F136" s="137">
        <v>8.0000000000000004E-4</v>
      </c>
      <c r="G136" s="202">
        <v>44285</v>
      </c>
      <c r="H136" t="s">
        <v>6512</v>
      </c>
      <c r="I136" s="40" t="s">
        <v>6427</v>
      </c>
      <c r="L136" s="40" t="str">
        <f t="shared" si="3"/>
        <v>USD,20210330,252340,257120,252240,252540,1,1,1</v>
      </c>
    </row>
    <row r="137" spans="1:12">
      <c r="A137" s="268">
        <v>240410</v>
      </c>
      <c r="B137" s="268">
        <v>239550</v>
      </c>
      <c r="C137" s="268">
        <v>252350</v>
      </c>
      <c r="D137" s="268">
        <v>252330</v>
      </c>
      <c r="E137">
        <v>4770</v>
      </c>
      <c r="F137" s="137">
        <v>1.9300000000000001E-2</v>
      </c>
      <c r="G137" s="202">
        <v>44283</v>
      </c>
      <c r="H137" t="s">
        <v>6513</v>
      </c>
      <c r="I137" s="40" t="s">
        <v>6427</v>
      </c>
      <c r="L137" s="40" t="str">
        <f t="shared" si="3"/>
        <v>USD,20210328,247510,252350,247470,252330,1,1,1</v>
      </c>
    </row>
    <row r="138" spans="1:12">
      <c r="A138" s="268">
        <v>240920</v>
      </c>
      <c r="B138" s="268">
        <v>240320</v>
      </c>
      <c r="C138" s="268">
        <v>247580</v>
      </c>
      <c r="D138" s="268">
        <v>247560</v>
      </c>
      <c r="E138">
        <v>7930</v>
      </c>
      <c r="F138" s="137">
        <v>3.3099999999999997E-2</v>
      </c>
      <c r="G138" s="202">
        <v>44282</v>
      </c>
      <c r="H138" t="s">
        <v>6514</v>
      </c>
      <c r="I138" s="40" t="s">
        <v>6427</v>
      </c>
      <c r="L138" s="40" t="str">
        <f t="shared" si="3"/>
        <v>USD,20210327,239640,247580,239550,247560,1,1,1</v>
      </c>
    </row>
    <row r="139" spans="1:12">
      <c r="A139" s="268">
        <v>239200</v>
      </c>
      <c r="B139" s="268">
        <v>239100</v>
      </c>
      <c r="C139" s="268">
        <v>240430</v>
      </c>
      <c r="D139" s="268">
        <v>239630</v>
      </c>
      <c r="E139">
        <v>770</v>
      </c>
      <c r="F139" s="137">
        <v>3.2000000000000002E-3</v>
      </c>
      <c r="G139" s="202">
        <v>44273</v>
      </c>
      <c r="H139" t="s">
        <v>6515</v>
      </c>
      <c r="I139" s="40" t="s">
        <v>6427</v>
      </c>
      <c r="L139" s="40" t="str">
        <f t="shared" si="3"/>
        <v>USD,20210318,240410,240430,239550,239630,1,1,1</v>
      </c>
    </row>
    <row r="140" spans="1:12">
      <c r="A140" s="268">
        <v>239200</v>
      </c>
      <c r="B140" s="268">
        <v>239100</v>
      </c>
      <c r="C140" s="268">
        <v>240950</v>
      </c>
      <c r="D140" s="268">
        <v>240400</v>
      </c>
      <c r="E140">
        <v>490</v>
      </c>
      <c r="F140" s="137">
        <v>2E-3</v>
      </c>
      <c r="G140" s="202">
        <v>44272</v>
      </c>
      <c r="H140" t="s">
        <v>6516</v>
      </c>
      <c r="I140" s="40" t="s">
        <v>6427</v>
      </c>
      <c r="L140" s="40" t="str">
        <f t="shared" si="3"/>
        <v>USD,20210317,240920,240950,240320,240400,1,1,1</v>
      </c>
    </row>
    <row r="141" spans="1:12">
      <c r="A141" s="268">
        <v>241810</v>
      </c>
      <c r="B141" s="268">
        <v>239100</v>
      </c>
      <c r="C141" s="268">
        <v>241380</v>
      </c>
      <c r="D141" s="268">
        <v>240890</v>
      </c>
      <c r="E141">
        <v>1720</v>
      </c>
      <c r="F141" s="137">
        <v>7.1999999999999998E-3</v>
      </c>
      <c r="G141" s="202">
        <v>44271</v>
      </c>
      <c r="H141" t="s">
        <v>6175</v>
      </c>
      <c r="I141" s="40" t="s">
        <v>6427</v>
      </c>
      <c r="L141" s="40" t="str">
        <f t="shared" si="3"/>
        <v>USD,20210316,239200,241380,239100,240890,1,1,1</v>
      </c>
    </row>
    <row r="142" spans="1:12">
      <c r="A142" s="268">
        <v>242400</v>
      </c>
      <c r="B142" s="268">
        <v>241770</v>
      </c>
      <c r="C142" s="268">
        <v>239210</v>
      </c>
      <c r="D142" s="268">
        <v>239170</v>
      </c>
      <c r="E142" t="s">
        <v>6426</v>
      </c>
      <c r="F142" t="s">
        <v>6426</v>
      </c>
      <c r="G142" s="202">
        <v>44270</v>
      </c>
      <c r="H142" t="s">
        <v>6178</v>
      </c>
      <c r="I142" s="40" t="s">
        <v>6427</v>
      </c>
      <c r="L142" s="40" t="str">
        <f t="shared" si="3"/>
        <v>USD,20210315,239200,239210,239100,239170,1,1,1</v>
      </c>
    </row>
    <row r="143" spans="1:12">
      <c r="A143" s="268">
        <v>242100</v>
      </c>
      <c r="B143" s="268">
        <v>241240</v>
      </c>
      <c r="C143" s="268">
        <v>241880</v>
      </c>
      <c r="D143" s="268">
        <v>239170</v>
      </c>
      <c r="E143">
        <v>2600</v>
      </c>
      <c r="F143" s="137">
        <v>1.09E-2</v>
      </c>
      <c r="G143" s="202">
        <v>44269</v>
      </c>
      <c r="H143" t="s">
        <v>6517</v>
      </c>
      <c r="I143" s="40" t="s">
        <v>6427</v>
      </c>
      <c r="L143" s="40" t="str">
        <f t="shared" si="3"/>
        <v>USD,20210314,241810,241880,239100,239170,1,1,1</v>
      </c>
    </row>
    <row r="144" spans="1:12">
      <c r="A144" s="268">
        <v>243240</v>
      </c>
      <c r="B144" s="268">
        <v>241050</v>
      </c>
      <c r="C144" s="268">
        <v>243850</v>
      </c>
      <c r="D144" s="268">
        <v>241770</v>
      </c>
      <c r="E144">
        <v>650</v>
      </c>
      <c r="F144" s="137">
        <v>2.7000000000000001E-3</v>
      </c>
      <c r="G144" s="202">
        <v>44268</v>
      </c>
      <c r="H144" t="s">
        <v>6518</v>
      </c>
      <c r="I144" s="40" t="s">
        <v>6427</v>
      </c>
      <c r="L144" s="40" t="str">
        <f t="shared" si="3"/>
        <v>USD,20210313,242400,243850,241770,241770,1,1,1</v>
      </c>
    </row>
    <row r="145" spans="1:12">
      <c r="A145" s="268">
        <v>239960</v>
      </c>
      <c r="B145" s="268">
        <v>239850</v>
      </c>
      <c r="C145" s="268">
        <v>242710</v>
      </c>
      <c r="D145" s="268">
        <v>242420</v>
      </c>
      <c r="E145">
        <v>350</v>
      </c>
      <c r="F145" s="137">
        <v>1.4E-3</v>
      </c>
      <c r="G145" s="202">
        <v>44265</v>
      </c>
      <c r="H145" t="s">
        <v>6177</v>
      </c>
      <c r="I145" s="40" t="s">
        <v>6427</v>
      </c>
      <c r="L145" s="40" t="str">
        <f t="shared" si="3"/>
        <v>USD,20210310,242100,242710,241240,242420,1,1,1</v>
      </c>
    </row>
    <row r="146" spans="1:12">
      <c r="A146" s="268">
        <v>242800</v>
      </c>
      <c r="B146" s="268">
        <v>239850</v>
      </c>
      <c r="C146" s="268">
        <v>244280</v>
      </c>
      <c r="D146" s="268">
        <v>242070</v>
      </c>
      <c r="E146">
        <v>1140</v>
      </c>
      <c r="F146" s="137">
        <v>4.7000000000000002E-3</v>
      </c>
      <c r="G146" s="202">
        <v>44264</v>
      </c>
      <c r="H146" t="s">
        <v>6306</v>
      </c>
      <c r="I146" s="40" t="s">
        <v>6427</v>
      </c>
      <c r="L146" s="40" t="str">
        <f t="shared" si="3"/>
        <v>USD,20210309,243240,244280,241050,242070,1,1,1</v>
      </c>
    </row>
    <row r="147" spans="1:12">
      <c r="A147" s="268">
        <v>246580</v>
      </c>
      <c r="B147" s="268">
        <v>242700</v>
      </c>
      <c r="C147" s="268">
        <v>244610</v>
      </c>
      <c r="D147" s="268">
        <v>243210</v>
      </c>
      <c r="E147">
        <v>3310</v>
      </c>
      <c r="F147" s="137">
        <v>1.38E-2</v>
      </c>
      <c r="G147" s="202">
        <v>44263</v>
      </c>
      <c r="H147" t="s">
        <v>6519</v>
      </c>
      <c r="I147" s="40" t="s">
        <v>6427</v>
      </c>
      <c r="L147" s="40" t="str">
        <f t="shared" si="3"/>
        <v>USD,20210308,239960,244610,239850,243210,1,1,1</v>
      </c>
    </row>
    <row r="148" spans="1:12">
      <c r="A148" s="268">
        <v>246700</v>
      </c>
      <c r="B148" s="268">
        <v>246530</v>
      </c>
      <c r="C148" s="268">
        <v>242810</v>
      </c>
      <c r="D148" s="268">
        <v>239900</v>
      </c>
      <c r="E148">
        <v>2810</v>
      </c>
      <c r="F148" s="137">
        <v>1.17E-2</v>
      </c>
      <c r="G148" s="202">
        <v>44262</v>
      </c>
      <c r="H148" t="s">
        <v>6520</v>
      </c>
      <c r="I148" s="40" t="s">
        <v>6427</v>
      </c>
      <c r="L148" s="40" t="str">
        <f t="shared" si="3"/>
        <v>USD,20210307,242800,242810,239850,239900,1,1,1</v>
      </c>
    </row>
    <row r="149" spans="1:12">
      <c r="A149" s="268">
        <v>244330</v>
      </c>
      <c r="B149" s="268">
        <v>244330</v>
      </c>
      <c r="C149" s="268">
        <v>246770</v>
      </c>
      <c r="D149" s="268">
        <v>242710</v>
      </c>
      <c r="E149">
        <v>3900</v>
      </c>
      <c r="F149" s="137">
        <v>1.61E-2</v>
      </c>
      <c r="G149" s="202">
        <v>44261</v>
      </c>
      <c r="H149" t="s">
        <v>6521</v>
      </c>
      <c r="I149" s="40" t="s">
        <v>6427</v>
      </c>
      <c r="L149" s="40" t="str">
        <f t="shared" si="3"/>
        <v>USD,20210306,246580,246770,242700,242710,1,1,1</v>
      </c>
    </row>
    <row r="150" spans="1:12">
      <c r="A150" s="268">
        <v>247580</v>
      </c>
      <c r="B150" s="268">
        <v>244280</v>
      </c>
      <c r="C150" s="268">
        <v>246790</v>
      </c>
      <c r="D150" s="268">
        <v>246610</v>
      </c>
      <c r="E150">
        <v>70</v>
      </c>
      <c r="F150" s="137">
        <v>2.9999999999999997E-4</v>
      </c>
      <c r="G150" s="202">
        <v>44259</v>
      </c>
      <c r="H150" t="s">
        <v>6522</v>
      </c>
      <c r="I150" s="40" t="s">
        <v>6427</v>
      </c>
      <c r="L150" s="40" t="str">
        <f t="shared" si="3"/>
        <v>USD,20210304,246700,246790,246530,246610,1,1,1</v>
      </c>
    </row>
    <row r="151" spans="1:12">
      <c r="A151" s="268">
        <v>247030</v>
      </c>
      <c r="B151" s="268">
        <v>246960</v>
      </c>
      <c r="C151" s="268">
        <v>247910</v>
      </c>
      <c r="D151" s="268">
        <v>246680</v>
      </c>
      <c r="E151">
        <v>2310</v>
      </c>
      <c r="F151" s="137">
        <v>9.4999999999999998E-3</v>
      </c>
      <c r="G151" s="202">
        <v>44258</v>
      </c>
      <c r="H151" t="s">
        <v>6523</v>
      </c>
      <c r="I151" s="40" t="s">
        <v>6427</v>
      </c>
      <c r="L151" s="40" t="str">
        <f t="shared" si="3"/>
        <v>USD,20210303,244330,247910,244330,246680,1,1,1</v>
      </c>
    </row>
    <row r="152" spans="1:12">
      <c r="A152" s="268">
        <v>252430</v>
      </c>
      <c r="B152" s="268">
        <v>246960</v>
      </c>
      <c r="C152" s="268">
        <v>247590</v>
      </c>
      <c r="D152" s="268">
        <v>244370</v>
      </c>
      <c r="E152">
        <v>3110</v>
      </c>
      <c r="F152" s="137">
        <v>1.2699999999999999E-2</v>
      </c>
      <c r="G152" s="202">
        <v>44257</v>
      </c>
      <c r="H152" t="s">
        <v>6524</v>
      </c>
      <c r="I152" s="40" t="s">
        <v>6427</v>
      </c>
      <c r="L152" s="40" t="str">
        <f t="shared" si="3"/>
        <v>USD,20210302,247580,247590,244280,244370,1,1,1</v>
      </c>
    </row>
    <row r="153" spans="1:12">
      <c r="A153" s="268">
        <v>248150</v>
      </c>
      <c r="B153" s="268">
        <v>248110</v>
      </c>
      <c r="C153" s="268">
        <v>249500</v>
      </c>
      <c r="D153" s="268">
        <v>247480</v>
      </c>
      <c r="E153">
        <v>430</v>
      </c>
      <c r="F153" s="137">
        <v>1.6999999999999999E-3</v>
      </c>
      <c r="G153" s="202">
        <v>44256</v>
      </c>
      <c r="H153" t="s">
        <v>6525</v>
      </c>
      <c r="I153" s="40" t="s">
        <v>6427</v>
      </c>
      <c r="L153" s="40" t="str">
        <f t="shared" si="3"/>
        <v>USD,20210301,247030,249500,246960,247480,1,1,1</v>
      </c>
    </row>
    <row r="154" spans="1:12">
      <c r="A154" s="268">
        <v>246510</v>
      </c>
      <c r="B154" s="268">
        <v>246410</v>
      </c>
      <c r="C154" s="268">
        <v>252440</v>
      </c>
      <c r="D154" s="268">
        <v>247050</v>
      </c>
      <c r="E154">
        <v>5350</v>
      </c>
      <c r="F154" s="137">
        <v>2.1700000000000001E-2</v>
      </c>
      <c r="G154" s="202">
        <v>44255</v>
      </c>
      <c r="H154" t="s">
        <v>6526</v>
      </c>
      <c r="I154" s="40" t="s">
        <v>6427</v>
      </c>
      <c r="L154" s="40" t="str">
        <f t="shared" si="3"/>
        <v>USD,20210228,252430,252440,246960,247050,1,1,1</v>
      </c>
    </row>
    <row r="155" spans="1:12">
      <c r="A155" s="268">
        <v>241810</v>
      </c>
      <c r="B155" s="268">
        <v>241790</v>
      </c>
      <c r="C155" s="268">
        <v>253720</v>
      </c>
      <c r="D155" s="268">
        <v>252400</v>
      </c>
      <c r="E155">
        <v>4190</v>
      </c>
      <c r="F155" s="137">
        <v>1.6899999999999998E-2</v>
      </c>
      <c r="G155" s="202">
        <v>44254</v>
      </c>
      <c r="H155" t="s">
        <v>6527</v>
      </c>
      <c r="I155" s="40" t="s">
        <v>6427</v>
      </c>
      <c r="L155" s="40" t="str">
        <f t="shared" si="3"/>
        <v>USD,20210227,248150,253720,248110,252400,1,1,1</v>
      </c>
    </row>
    <row r="156" spans="1:12">
      <c r="A156" s="268">
        <v>242510</v>
      </c>
      <c r="B156" s="268">
        <v>241790</v>
      </c>
      <c r="C156" s="268">
        <v>252520</v>
      </c>
      <c r="D156" s="268">
        <v>248210</v>
      </c>
      <c r="E156">
        <v>1790</v>
      </c>
      <c r="F156" s="137">
        <v>7.3000000000000001E-3</v>
      </c>
      <c r="G156" s="202">
        <v>44251</v>
      </c>
      <c r="H156" t="s">
        <v>6528</v>
      </c>
      <c r="I156" s="40" t="s">
        <v>6427</v>
      </c>
      <c r="L156" s="40" t="str">
        <f t="shared" si="3"/>
        <v>USD,20210224,246510,252520,246410,248210,1,1,1</v>
      </c>
    </row>
    <row r="157" spans="1:12">
      <c r="A157" s="268">
        <v>249970</v>
      </c>
      <c r="B157" s="268">
        <v>242400</v>
      </c>
      <c r="C157" s="268">
        <v>246520</v>
      </c>
      <c r="D157" s="268">
        <v>246420</v>
      </c>
      <c r="E157">
        <v>4540</v>
      </c>
      <c r="F157" s="137">
        <v>1.8800000000000001E-2</v>
      </c>
      <c r="G157" s="202">
        <v>44250</v>
      </c>
      <c r="H157" t="s">
        <v>6529</v>
      </c>
      <c r="I157" s="40" t="s">
        <v>6427</v>
      </c>
      <c r="L157" s="40" t="str">
        <f t="shared" si="3"/>
        <v>USD,20210223,241810,246520,241790,246420,1,1,1</v>
      </c>
    </row>
    <row r="158" spans="1:12">
      <c r="A158" s="268">
        <v>251750</v>
      </c>
      <c r="B158" s="268">
        <v>249920</v>
      </c>
      <c r="C158" s="268">
        <v>243750</v>
      </c>
      <c r="D158" s="268">
        <v>241880</v>
      </c>
      <c r="E158">
        <v>650</v>
      </c>
      <c r="F158" s="137">
        <v>2.7000000000000001E-3</v>
      </c>
      <c r="G158" s="202">
        <v>44249</v>
      </c>
      <c r="H158" t="s">
        <v>6530</v>
      </c>
      <c r="I158" s="40" t="s">
        <v>6427</v>
      </c>
      <c r="L158" s="40" t="str">
        <f t="shared" si="3"/>
        <v>USD,20210222,242510,243750,241790,241880,1,1,1</v>
      </c>
    </row>
    <row r="159" spans="1:12">
      <c r="A159" s="268">
        <v>251710</v>
      </c>
      <c r="B159" s="268">
        <v>251640</v>
      </c>
      <c r="C159" s="268">
        <v>250030</v>
      </c>
      <c r="D159" s="268">
        <v>242530</v>
      </c>
      <c r="E159">
        <v>7460</v>
      </c>
      <c r="F159" s="137">
        <v>3.0800000000000001E-2</v>
      </c>
      <c r="G159" s="202">
        <v>44248</v>
      </c>
      <c r="H159" t="s">
        <v>6531</v>
      </c>
      <c r="I159" s="40" t="s">
        <v>6427</v>
      </c>
      <c r="L159" s="40" t="str">
        <f t="shared" si="3"/>
        <v>USD,20210221,249970,250030,242400,242530,1,1,1</v>
      </c>
    </row>
    <row r="160" spans="1:12">
      <c r="A160" s="268">
        <v>249780</v>
      </c>
      <c r="B160" s="268">
        <v>249740</v>
      </c>
      <c r="C160" s="268">
        <v>252250</v>
      </c>
      <c r="D160" s="268">
        <v>249990</v>
      </c>
      <c r="E160">
        <v>1720</v>
      </c>
      <c r="F160" s="137">
        <v>6.8999999999999999E-3</v>
      </c>
      <c r="G160" s="202">
        <v>44247</v>
      </c>
      <c r="H160" t="s">
        <v>6532</v>
      </c>
      <c r="I160" s="40" t="s">
        <v>6427</v>
      </c>
      <c r="L160" s="40" t="str">
        <f t="shared" si="3"/>
        <v>USD,20210220,251750,252250,249920,249990,1,1,1</v>
      </c>
    </row>
    <row r="161" spans="1:12">
      <c r="A161" s="268">
        <v>249820</v>
      </c>
      <c r="B161" s="268">
        <v>249740</v>
      </c>
      <c r="C161" s="268">
        <v>253620</v>
      </c>
      <c r="D161" s="268">
        <v>251710</v>
      </c>
      <c r="E161">
        <v>40</v>
      </c>
      <c r="F161" s="137">
        <v>2.0000000000000001E-4</v>
      </c>
      <c r="G161" s="202">
        <v>44245</v>
      </c>
      <c r="H161" t="s">
        <v>6533</v>
      </c>
      <c r="I161" s="40" t="s">
        <v>6427</v>
      </c>
      <c r="L161" s="40" t="str">
        <f t="shared" si="3"/>
        <v>USD,20210218,251710,253620,251640,251710,1,1,1</v>
      </c>
    </row>
    <row r="162" spans="1:12">
      <c r="A162" s="268">
        <v>249780</v>
      </c>
      <c r="B162" s="268">
        <v>249740</v>
      </c>
      <c r="C162" s="268">
        <v>251850</v>
      </c>
      <c r="D162" s="268">
        <v>251750</v>
      </c>
      <c r="E162">
        <v>2010</v>
      </c>
      <c r="F162" s="137">
        <v>8.0000000000000002E-3</v>
      </c>
      <c r="G162" s="202">
        <v>44244</v>
      </c>
      <c r="H162" t="s">
        <v>6534</v>
      </c>
      <c r="I162" s="40" t="s">
        <v>6427</v>
      </c>
      <c r="L162" s="40" t="str">
        <f t="shared" si="3"/>
        <v>USD,20210217,249780,251850,249740,251750,1,1,1</v>
      </c>
    </row>
    <row r="163" spans="1:12">
      <c r="A163" s="268">
        <v>249830</v>
      </c>
      <c r="B163" s="268">
        <v>249740</v>
      </c>
      <c r="C163" s="268">
        <v>249850</v>
      </c>
      <c r="D163" s="268">
        <v>249740</v>
      </c>
      <c r="E163" t="s">
        <v>6426</v>
      </c>
      <c r="F163" t="s">
        <v>6426</v>
      </c>
      <c r="G163" s="202">
        <v>44243</v>
      </c>
      <c r="H163" t="s">
        <v>6535</v>
      </c>
      <c r="I163" s="40" t="s">
        <v>6427</v>
      </c>
      <c r="L163" s="40" t="str">
        <f t="shared" si="3"/>
        <v>USD,20210216,249820,249850,249740,249740,1,1,1</v>
      </c>
    </row>
    <row r="164" spans="1:12">
      <c r="A164" s="268">
        <v>247040</v>
      </c>
      <c r="B164" s="268">
        <v>246940</v>
      </c>
      <c r="C164" s="268">
        <v>249850</v>
      </c>
      <c r="D164" s="268">
        <v>249740</v>
      </c>
      <c r="E164">
        <v>30</v>
      </c>
      <c r="F164" s="137">
        <v>1E-4</v>
      </c>
      <c r="G164" s="202">
        <v>44242</v>
      </c>
      <c r="H164" t="s">
        <v>6536</v>
      </c>
      <c r="I164" s="40" t="s">
        <v>6427</v>
      </c>
      <c r="L164" s="40" t="str">
        <f t="shared" si="3"/>
        <v>USD,20210215,249780,249850,249740,249740,1,1,1</v>
      </c>
    </row>
    <row r="165" spans="1:12">
      <c r="A165" s="268">
        <v>245960</v>
      </c>
      <c r="B165" s="268">
        <v>245940</v>
      </c>
      <c r="C165" s="268">
        <v>249850</v>
      </c>
      <c r="D165" s="268">
        <v>249770</v>
      </c>
      <c r="E165">
        <v>40</v>
      </c>
      <c r="F165" s="137">
        <v>2.0000000000000001E-4</v>
      </c>
      <c r="G165" s="202">
        <v>44241</v>
      </c>
      <c r="H165" t="s">
        <v>6537</v>
      </c>
      <c r="I165" s="40" t="s">
        <v>6427</v>
      </c>
      <c r="L165" s="40" t="str">
        <f t="shared" si="3"/>
        <v>USD,20210214,249830,249850,249740,249770,1,1,1</v>
      </c>
    </row>
    <row r="166" spans="1:12">
      <c r="A166" s="268">
        <v>238970</v>
      </c>
      <c r="B166" s="268">
        <v>238940</v>
      </c>
      <c r="C166" s="268">
        <v>249850</v>
      </c>
      <c r="D166" s="268">
        <v>249810</v>
      </c>
      <c r="E166">
        <v>2850</v>
      </c>
      <c r="F166" s="137">
        <v>1.15E-2</v>
      </c>
      <c r="G166" s="202">
        <v>44240</v>
      </c>
      <c r="H166" t="s">
        <v>6538</v>
      </c>
      <c r="I166" s="40" t="s">
        <v>6427</v>
      </c>
      <c r="L166" s="40" t="str">
        <f t="shared" si="3"/>
        <v>USD,20210213,247040,249850,246940,249810,1,1,1</v>
      </c>
    </row>
    <row r="167" spans="1:12">
      <c r="A167" s="268">
        <v>237050</v>
      </c>
      <c r="B167" s="268">
        <v>236940</v>
      </c>
      <c r="C167" s="268">
        <v>247050</v>
      </c>
      <c r="D167" s="268">
        <v>246960</v>
      </c>
      <c r="E167">
        <v>5930</v>
      </c>
      <c r="F167" s="137">
        <v>2.46E-2</v>
      </c>
      <c r="G167" s="202">
        <v>44238</v>
      </c>
      <c r="H167" t="s">
        <v>6539</v>
      </c>
      <c r="I167" s="40" t="s">
        <v>6427</v>
      </c>
      <c r="L167" s="40" t="str">
        <f t="shared" si="3"/>
        <v>USD,20210211,245960,247050,245940,246960,1,1,1</v>
      </c>
    </row>
    <row r="168" spans="1:12">
      <c r="A168" s="268">
        <v>237490</v>
      </c>
      <c r="B168" s="268">
        <v>236940</v>
      </c>
      <c r="C168" s="268">
        <v>241050</v>
      </c>
      <c r="D168" s="268">
        <v>241030</v>
      </c>
      <c r="E168">
        <v>4090</v>
      </c>
      <c r="F168" s="137">
        <v>1.7299999999999999E-2</v>
      </c>
      <c r="G168" s="202">
        <v>44236</v>
      </c>
      <c r="H168" t="s">
        <v>6540</v>
      </c>
      <c r="I168" s="40" t="s">
        <v>6427</v>
      </c>
      <c r="L168" s="40" t="str">
        <f t="shared" si="3"/>
        <v>USD,20210209,238970,241050,238940,241030,1,1,1</v>
      </c>
    </row>
    <row r="169" spans="1:12">
      <c r="A169" s="268">
        <v>237520</v>
      </c>
      <c r="B169" s="268">
        <v>237440</v>
      </c>
      <c r="C169" s="268">
        <v>237050</v>
      </c>
      <c r="D169" s="268">
        <v>236940</v>
      </c>
      <c r="E169">
        <v>20</v>
      </c>
      <c r="F169" s="137">
        <v>1E-4</v>
      </c>
      <c r="G169" s="202">
        <v>44235</v>
      </c>
      <c r="H169" t="s">
        <v>6541</v>
      </c>
      <c r="I169" s="40" t="s">
        <v>6427</v>
      </c>
      <c r="L169" s="40" t="str">
        <f t="shared" si="3"/>
        <v>USD,20210208,237050,237050,236940,236940,1,1,1</v>
      </c>
    </row>
    <row r="170" spans="1:12">
      <c r="A170" s="268">
        <v>237500</v>
      </c>
      <c r="B170" s="268">
        <v>237440</v>
      </c>
      <c r="C170" s="268">
        <v>237550</v>
      </c>
      <c r="D170" s="268">
        <v>236960</v>
      </c>
      <c r="E170">
        <v>590</v>
      </c>
      <c r="F170" s="137">
        <v>2.5000000000000001E-3</v>
      </c>
      <c r="G170" s="202">
        <v>44234</v>
      </c>
      <c r="H170" t="s">
        <v>6542</v>
      </c>
      <c r="I170" s="40" t="s">
        <v>6427</v>
      </c>
      <c r="L170" s="40" t="str">
        <f t="shared" si="3"/>
        <v>USD,20210207,237490,237550,236940,236960,1,1,1</v>
      </c>
    </row>
    <row r="171" spans="1:12">
      <c r="A171" s="268">
        <v>238680</v>
      </c>
      <c r="B171" s="268">
        <v>237640</v>
      </c>
      <c r="C171" s="268">
        <v>237550</v>
      </c>
      <c r="D171" s="268">
        <v>237550</v>
      </c>
      <c r="E171">
        <v>80</v>
      </c>
      <c r="F171" s="137">
        <v>2.9999999999999997E-4</v>
      </c>
      <c r="G171" s="202">
        <v>44233</v>
      </c>
      <c r="H171" t="s">
        <v>6543</v>
      </c>
      <c r="I171" s="40" t="s">
        <v>6427</v>
      </c>
      <c r="L171" s="40" t="str">
        <f t="shared" si="3"/>
        <v>USD,20210206,237520,237550,237440,237550,1,1,1</v>
      </c>
    </row>
    <row r="172" spans="1:12">
      <c r="A172" s="268">
        <v>238650</v>
      </c>
      <c r="B172" s="268">
        <v>238640</v>
      </c>
      <c r="C172" s="268">
        <v>237550</v>
      </c>
      <c r="D172" s="268">
        <v>237470</v>
      </c>
      <c r="E172">
        <v>190</v>
      </c>
      <c r="F172" s="137">
        <v>8.0000000000000004E-4</v>
      </c>
      <c r="G172" s="202">
        <v>44231</v>
      </c>
      <c r="H172" t="s">
        <v>6544</v>
      </c>
      <c r="I172" s="40" t="s">
        <v>6427</v>
      </c>
      <c r="L172" s="40" t="str">
        <f t="shared" si="3"/>
        <v>USD,20210204,237500,237550,237440,237470,1,1,1</v>
      </c>
    </row>
    <row r="173" spans="1:12">
      <c r="A173" s="268">
        <v>239170</v>
      </c>
      <c r="B173" s="268">
        <v>238640</v>
      </c>
      <c r="C173" s="268">
        <v>238750</v>
      </c>
      <c r="D173" s="268">
        <v>237660</v>
      </c>
      <c r="E173">
        <v>1050</v>
      </c>
      <c r="F173" s="137">
        <v>4.4000000000000003E-3</v>
      </c>
      <c r="G173" s="202">
        <v>44230</v>
      </c>
      <c r="H173" t="s">
        <v>6545</v>
      </c>
      <c r="I173" s="40" t="s">
        <v>6427</v>
      </c>
      <c r="L173" s="40" t="str">
        <f t="shared" si="3"/>
        <v>USD,20210203,238680,238750,237640,237660,1,1,1</v>
      </c>
    </row>
    <row r="174" spans="1:12">
      <c r="A174" s="268">
        <v>237180</v>
      </c>
      <c r="B174" s="268">
        <v>237140</v>
      </c>
      <c r="C174" s="268">
        <v>238750</v>
      </c>
      <c r="D174" s="268">
        <v>238710</v>
      </c>
      <c r="E174">
        <v>10</v>
      </c>
      <c r="F174" t="s">
        <v>6426</v>
      </c>
      <c r="G174" s="202">
        <v>44229</v>
      </c>
      <c r="H174" t="s">
        <v>6546</v>
      </c>
      <c r="I174" s="40" t="s">
        <v>6427</v>
      </c>
      <c r="L174" s="40" t="str">
        <f t="shared" si="3"/>
        <v>USD,20210202,238650,238750,238640,238710,1,1,1</v>
      </c>
    </row>
    <row r="175" spans="1:12">
      <c r="A175" s="268">
        <v>232050</v>
      </c>
      <c r="B175" s="268">
        <v>232040</v>
      </c>
      <c r="C175" s="268">
        <v>239170</v>
      </c>
      <c r="D175" s="268">
        <v>238720</v>
      </c>
      <c r="E175">
        <v>490</v>
      </c>
      <c r="F175" s="137">
        <v>2.0999999999999999E-3</v>
      </c>
      <c r="G175" s="202">
        <v>44228</v>
      </c>
      <c r="H175" t="s">
        <v>6547</v>
      </c>
      <c r="I175" s="40" t="s">
        <v>6427</v>
      </c>
      <c r="L175" s="40" t="str">
        <f t="shared" si="3"/>
        <v>USD,20210201,239170,239170,238640,238720,1,1,1</v>
      </c>
    </row>
    <row r="176" spans="1:12">
      <c r="A176" s="268">
        <v>234070</v>
      </c>
      <c r="B176" s="268">
        <v>232040</v>
      </c>
      <c r="C176" s="268">
        <v>239250</v>
      </c>
      <c r="D176" s="268">
        <v>239210</v>
      </c>
      <c r="E176">
        <v>2040</v>
      </c>
      <c r="F176" s="137">
        <v>8.6E-3</v>
      </c>
      <c r="G176" s="202">
        <v>44227</v>
      </c>
      <c r="H176" t="s">
        <v>6548</v>
      </c>
      <c r="I176" s="40" t="s">
        <v>6427</v>
      </c>
      <c r="L176" s="40" t="str">
        <f t="shared" si="3"/>
        <v>USD,20210131,237180,239250,237140,239210,1,1,1</v>
      </c>
    </row>
    <row r="177" spans="1:12">
      <c r="A177" s="268">
        <v>229150</v>
      </c>
      <c r="B177" s="268">
        <v>229140</v>
      </c>
      <c r="C177" s="268">
        <v>237250</v>
      </c>
      <c r="D177" s="268">
        <v>237170</v>
      </c>
      <c r="E177">
        <v>5060</v>
      </c>
      <c r="F177" s="137">
        <v>2.18E-2</v>
      </c>
      <c r="G177" s="202">
        <v>44226</v>
      </c>
      <c r="H177" t="s">
        <v>6549</v>
      </c>
      <c r="I177" s="40" t="s">
        <v>6427</v>
      </c>
      <c r="L177" s="40" t="str">
        <f t="shared" si="3"/>
        <v>USD,20210130,232050,237250,232040,237170,1,1,1</v>
      </c>
    </row>
    <row r="178" spans="1:12">
      <c r="A178" s="268">
        <v>229720</v>
      </c>
      <c r="B178" s="268">
        <v>229140</v>
      </c>
      <c r="C178" s="268">
        <v>234150</v>
      </c>
      <c r="D178" s="268">
        <v>232110</v>
      </c>
      <c r="E178">
        <v>2020</v>
      </c>
      <c r="F178" s="137">
        <v>8.6999999999999994E-3</v>
      </c>
      <c r="G178" s="202">
        <v>44224</v>
      </c>
      <c r="H178" t="s">
        <v>6550</v>
      </c>
      <c r="I178" s="40" t="s">
        <v>6427</v>
      </c>
      <c r="L178" s="40" t="str">
        <f t="shared" si="3"/>
        <v>USD,20210128,234070,234150,232040,232110,1,1,1</v>
      </c>
    </row>
    <row r="179" spans="1:12">
      <c r="A179" s="268">
        <v>224250</v>
      </c>
      <c r="B179" s="268">
        <v>224240</v>
      </c>
      <c r="C179" s="268">
        <v>234150</v>
      </c>
      <c r="D179" s="268">
        <v>234130</v>
      </c>
      <c r="E179">
        <v>4950</v>
      </c>
      <c r="F179" s="137">
        <v>2.1600000000000001E-2</v>
      </c>
      <c r="G179" s="202">
        <v>44223</v>
      </c>
      <c r="H179" t="s">
        <v>6551</v>
      </c>
      <c r="I179" s="40" t="s">
        <v>6427</v>
      </c>
      <c r="L179" s="40" t="str">
        <f t="shared" si="3"/>
        <v>USD,20210127,229150,234150,229140,234130,1,1,1</v>
      </c>
    </row>
    <row r="180" spans="1:12">
      <c r="A180" s="268">
        <v>224340</v>
      </c>
      <c r="B180" s="268">
        <v>224240</v>
      </c>
      <c r="C180" s="268">
        <v>229750</v>
      </c>
      <c r="D180" s="268">
        <v>229180</v>
      </c>
      <c r="E180">
        <v>480</v>
      </c>
      <c r="F180" s="137">
        <v>2.0999999999999999E-3</v>
      </c>
      <c r="G180" s="202">
        <v>44222</v>
      </c>
      <c r="H180" t="s">
        <v>6552</v>
      </c>
      <c r="I180" s="40" t="s">
        <v>6427</v>
      </c>
      <c r="L180" s="40" t="str">
        <f t="shared" si="3"/>
        <v>USD,20210126,229720,229750,229140,229180,1,1,1</v>
      </c>
    </row>
    <row r="181" spans="1:12">
      <c r="A181" s="268">
        <v>226530</v>
      </c>
      <c r="B181" s="268">
        <v>224240</v>
      </c>
      <c r="C181" s="268">
        <v>229750</v>
      </c>
      <c r="D181" s="268">
        <v>229660</v>
      </c>
      <c r="E181">
        <v>5320</v>
      </c>
      <c r="F181" s="137">
        <v>2.3699999999999999E-2</v>
      </c>
      <c r="G181" s="202">
        <v>44221</v>
      </c>
      <c r="H181" t="s">
        <v>6553</v>
      </c>
      <c r="I181" s="40" t="s">
        <v>6427</v>
      </c>
      <c r="L181" s="40" t="str">
        <f t="shared" si="3"/>
        <v>USD,20210125,224250,229750,224240,229660,1,1,1</v>
      </c>
    </row>
    <row r="182" spans="1:12">
      <c r="A182" s="268">
        <v>226510</v>
      </c>
      <c r="B182" s="268">
        <v>226440</v>
      </c>
      <c r="C182" s="268">
        <v>224350</v>
      </c>
      <c r="D182" s="268">
        <v>224340</v>
      </c>
      <c r="E182">
        <v>20</v>
      </c>
      <c r="F182" s="137">
        <v>1E-4</v>
      </c>
      <c r="G182" s="202">
        <v>44220</v>
      </c>
      <c r="H182" t="s">
        <v>6554</v>
      </c>
      <c r="I182" s="40" t="s">
        <v>6427</v>
      </c>
      <c r="L182" s="40" t="str">
        <f t="shared" si="3"/>
        <v>USD,20210124,224340,224350,224240,224340,1,1,1</v>
      </c>
    </row>
    <row r="183" spans="1:12">
      <c r="A183" s="268">
        <v>217940</v>
      </c>
      <c r="B183" s="268">
        <v>217840</v>
      </c>
      <c r="C183" s="268">
        <v>226530</v>
      </c>
      <c r="D183" s="268">
        <v>224320</v>
      </c>
      <c r="E183">
        <v>2230</v>
      </c>
      <c r="F183" s="137">
        <v>9.9000000000000008E-3</v>
      </c>
      <c r="G183" s="202">
        <v>44219</v>
      </c>
      <c r="H183" t="s">
        <v>6555</v>
      </c>
      <c r="I183" s="40" t="s">
        <v>6427</v>
      </c>
      <c r="L183" s="40" t="str">
        <f t="shared" ref="L183:L246" si="4">CONCATENATE("USD",I183,TEXT(G183,"yyyymmdd"),I183,A181,I183,C183,I183,B181,I183,D183,I183,"1,1,1")</f>
        <v>USD,20210123,226530,226530,224240,224320,1,1,1</v>
      </c>
    </row>
    <row r="184" spans="1:12">
      <c r="A184" s="268">
        <v>215900</v>
      </c>
      <c r="B184" s="268">
        <v>203860</v>
      </c>
      <c r="C184" s="268">
        <v>226550</v>
      </c>
      <c r="D184" s="268">
        <v>226550</v>
      </c>
      <c r="E184">
        <v>970</v>
      </c>
      <c r="F184" s="137">
        <v>4.3E-3</v>
      </c>
      <c r="G184" s="202">
        <v>44217</v>
      </c>
      <c r="H184" t="s">
        <v>6556</v>
      </c>
      <c r="I184" s="40" t="s">
        <v>6427</v>
      </c>
      <c r="L184" s="40" t="str">
        <f t="shared" si="4"/>
        <v>USD,20210121,226510,226550,226440,226550,1,1,1</v>
      </c>
    </row>
    <row r="185" spans="1:12">
      <c r="A185" s="268">
        <v>229550</v>
      </c>
      <c r="B185" s="268">
        <v>217900</v>
      </c>
      <c r="C185" s="268">
        <v>227550</v>
      </c>
      <c r="D185" s="268">
        <v>227520</v>
      </c>
      <c r="E185">
        <v>9570</v>
      </c>
      <c r="F185" s="137">
        <v>4.3900000000000002E-2</v>
      </c>
      <c r="G185" s="202">
        <v>44216</v>
      </c>
      <c r="H185" t="s">
        <v>6557</v>
      </c>
      <c r="I185" s="40" t="s">
        <v>6427</v>
      </c>
      <c r="L185" s="40" t="str">
        <f t="shared" si="4"/>
        <v>USD,20210120,217940,227550,217840,227520,1,1,1</v>
      </c>
    </row>
    <row r="186" spans="1:12">
      <c r="A186" s="268">
        <v>239540</v>
      </c>
      <c r="B186" s="268">
        <v>229440</v>
      </c>
      <c r="C186" s="268">
        <v>217950</v>
      </c>
      <c r="D186" s="268">
        <v>217950</v>
      </c>
      <c r="E186">
        <v>60</v>
      </c>
      <c r="F186" s="137">
        <v>2.9999999999999997E-4</v>
      </c>
      <c r="G186" s="202">
        <v>44215</v>
      </c>
      <c r="H186" t="s">
        <v>6558</v>
      </c>
      <c r="I186" s="40" t="s">
        <v>6427</v>
      </c>
      <c r="L186" s="40" t="str">
        <f t="shared" si="4"/>
        <v>USD,20210119,215900,217950,203860,217950,1,1,1</v>
      </c>
    </row>
    <row r="187" spans="1:12">
      <c r="A187" s="268">
        <v>242870</v>
      </c>
      <c r="B187" s="268">
        <v>239440</v>
      </c>
      <c r="C187" s="268">
        <v>229550</v>
      </c>
      <c r="D187" s="268">
        <v>218010</v>
      </c>
      <c r="E187">
        <v>11460</v>
      </c>
      <c r="F187" s="137">
        <v>5.2600000000000001E-2</v>
      </c>
      <c r="G187" s="202">
        <v>44214</v>
      </c>
      <c r="H187" t="s">
        <v>6559</v>
      </c>
      <c r="I187" s="40" t="s">
        <v>6427</v>
      </c>
      <c r="L187" s="40" t="str">
        <f t="shared" si="4"/>
        <v>USD,20210118,229550,229550,217900,218010,1,1,1</v>
      </c>
    </row>
    <row r="188" spans="1:12">
      <c r="A188" s="268">
        <v>248520</v>
      </c>
      <c r="B188" s="268">
        <v>244940</v>
      </c>
      <c r="C188" s="268">
        <v>239540</v>
      </c>
      <c r="D188" s="268">
        <v>229470</v>
      </c>
      <c r="E188">
        <v>10060</v>
      </c>
      <c r="F188" s="137">
        <v>4.3799999999999999E-2</v>
      </c>
      <c r="G188" s="202">
        <v>44212</v>
      </c>
      <c r="H188" t="s">
        <v>6560</v>
      </c>
      <c r="I188" s="40" t="s">
        <v>6427</v>
      </c>
      <c r="L188" s="40" t="str">
        <f t="shared" si="4"/>
        <v>USD,20210116,239540,239540,229440,229470,1,1,1</v>
      </c>
    </row>
    <row r="189" spans="1:12">
      <c r="A189" s="268">
        <v>248540</v>
      </c>
      <c r="B189" s="268">
        <v>248440</v>
      </c>
      <c r="C189" s="268">
        <v>242950</v>
      </c>
      <c r="D189" s="268">
        <v>239530</v>
      </c>
      <c r="E189">
        <v>5450</v>
      </c>
      <c r="F189" s="137">
        <v>2.2800000000000001E-2</v>
      </c>
      <c r="G189" s="202">
        <v>44210</v>
      </c>
      <c r="H189" t="s">
        <v>6561</v>
      </c>
      <c r="I189" s="40" t="s">
        <v>6427</v>
      </c>
      <c r="L189" s="40" t="str">
        <f t="shared" si="4"/>
        <v>USD,20210114,242870,242950,239440,239530,1,1,1</v>
      </c>
    </row>
    <row r="190" spans="1:12">
      <c r="A190" s="268">
        <v>248450</v>
      </c>
      <c r="B190" s="268">
        <v>248440</v>
      </c>
      <c r="C190" s="268">
        <v>248550</v>
      </c>
      <c r="D190" s="268">
        <v>244980</v>
      </c>
      <c r="E190">
        <v>3460</v>
      </c>
      <c r="F190" s="137">
        <v>1.41E-2</v>
      </c>
      <c r="G190" s="202">
        <v>44209</v>
      </c>
      <c r="H190" t="s">
        <v>6562</v>
      </c>
      <c r="I190" s="40" t="s">
        <v>6427</v>
      </c>
      <c r="L190" s="40" t="str">
        <f t="shared" si="4"/>
        <v>USD,20210113,248520,248550,244940,244980,1,1,1</v>
      </c>
    </row>
    <row r="191" spans="1:12">
      <c r="A191" s="268">
        <v>248690</v>
      </c>
      <c r="B191" s="268">
        <v>245840</v>
      </c>
      <c r="C191" s="268">
        <v>248550</v>
      </c>
      <c r="D191" s="268">
        <v>248440</v>
      </c>
      <c r="E191">
        <v>50</v>
      </c>
      <c r="F191" s="137">
        <v>2.0000000000000001E-4</v>
      </c>
      <c r="G191" s="202">
        <v>44208</v>
      </c>
      <c r="H191" t="s">
        <v>6563</v>
      </c>
      <c r="I191" s="40" t="s">
        <v>6427</v>
      </c>
      <c r="L191" s="40" t="str">
        <f t="shared" si="4"/>
        <v>USD,20210112,248540,248550,248440,248440,1,1,1</v>
      </c>
    </row>
    <row r="192" spans="1:12">
      <c r="A192" s="268">
        <v>255550</v>
      </c>
      <c r="B192" s="268">
        <v>248640</v>
      </c>
      <c r="C192" s="268">
        <v>249550</v>
      </c>
      <c r="D192" s="268">
        <v>248490</v>
      </c>
      <c r="E192">
        <v>30</v>
      </c>
      <c r="F192" s="137">
        <v>1E-4</v>
      </c>
      <c r="G192" s="202">
        <v>44207</v>
      </c>
      <c r="H192" t="s">
        <v>6564</v>
      </c>
      <c r="I192" s="40" t="s">
        <v>6427</v>
      </c>
      <c r="L192" s="40" t="str">
        <f t="shared" si="4"/>
        <v>USD,20210111,248450,249550,248440,248490,1,1,1</v>
      </c>
    </row>
    <row r="193" spans="1:12">
      <c r="A193" s="268">
        <v>257530</v>
      </c>
      <c r="B193" s="268">
        <v>255440</v>
      </c>
      <c r="C193" s="268">
        <v>248690</v>
      </c>
      <c r="D193" s="268">
        <v>248520</v>
      </c>
      <c r="E193">
        <v>140</v>
      </c>
      <c r="F193" s="137">
        <v>5.9999999999999995E-4</v>
      </c>
      <c r="G193" s="202">
        <v>44206</v>
      </c>
      <c r="H193" t="s">
        <v>6565</v>
      </c>
      <c r="I193" s="40" t="s">
        <v>6427</v>
      </c>
      <c r="L193" s="40" t="str">
        <f t="shared" si="4"/>
        <v>USD,20210110,248690,248690,245840,248520,1,1,1</v>
      </c>
    </row>
    <row r="194" spans="1:12">
      <c r="A194" s="268">
        <v>259030</v>
      </c>
      <c r="B194" s="268">
        <v>258440</v>
      </c>
      <c r="C194" s="268">
        <v>255550</v>
      </c>
      <c r="D194" s="268">
        <v>248660</v>
      </c>
      <c r="E194">
        <v>6850</v>
      </c>
      <c r="F194" s="137">
        <v>2.75E-2</v>
      </c>
      <c r="G194" s="202">
        <v>44205</v>
      </c>
      <c r="H194" t="s">
        <v>6566</v>
      </c>
      <c r="I194" s="40" t="s">
        <v>6427</v>
      </c>
      <c r="L194" s="40" t="str">
        <f t="shared" si="4"/>
        <v>USD,20210109,255550,255550,248640,248660,1,1,1</v>
      </c>
    </row>
    <row r="195" spans="1:12">
      <c r="A195" s="268">
        <v>257740</v>
      </c>
      <c r="B195" s="268">
        <v>257640</v>
      </c>
      <c r="C195" s="268">
        <v>257550</v>
      </c>
      <c r="D195" s="268">
        <v>255510</v>
      </c>
      <c r="E195">
        <v>3030</v>
      </c>
      <c r="F195" s="137">
        <v>1.1900000000000001E-2</v>
      </c>
      <c r="G195" s="202">
        <v>44203</v>
      </c>
      <c r="H195" t="s">
        <v>6567</v>
      </c>
      <c r="I195" s="40" t="s">
        <v>6427</v>
      </c>
      <c r="L195" s="40" t="str">
        <f t="shared" si="4"/>
        <v>USD,20210107,257530,257550,255440,255510,1,1,1</v>
      </c>
    </row>
    <row r="196" spans="1:12">
      <c r="A196" s="268">
        <v>255650</v>
      </c>
      <c r="B196" s="268">
        <v>255640</v>
      </c>
      <c r="C196" s="268">
        <v>259050</v>
      </c>
      <c r="D196" s="268">
        <v>258540</v>
      </c>
      <c r="E196">
        <v>480</v>
      </c>
      <c r="F196" s="137">
        <v>1.9E-3</v>
      </c>
      <c r="G196" s="202">
        <v>44202</v>
      </c>
      <c r="H196" t="s">
        <v>6568</v>
      </c>
      <c r="I196" s="40" t="s">
        <v>6427</v>
      </c>
      <c r="L196" s="40" t="str">
        <f t="shared" si="4"/>
        <v>USD,20210106,259030,259050,258440,258540,1,1,1</v>
      </c>
    </row>
    <row r="197" spans="1:12">
      <c r="A197" s="268">
        <v>256160</v>
      </c>
      <c r="B197" s="268">
        <v>255640</v>
      </c>
      <c r="C197" s="268">
        <v>259050</v>
      </c>
      <c r="D197" s="268">
        <v>259020</v>
      </c>
      <c r="E197">
        <v>1380</v>
      </c>
      <c r="F197" s="137">
        <v>5.4000000000000003E-3</v>
      </c>
      <c r="G197" s="202">
        <v>44201</v>
      </c>
      <c r="H197" t="s">
        <v>6569</v>
      </c>
      <c r="I197" s="40" t="s">
        <v>6427</v>
      </c>
      <c r="L197" s="40" t="str">
        <f t="shared" si="4"/>
        <v>USD,20210105,257740,259050,257640,259020,1,1,1</v>
      </c>
    </row>
    <row r="198" spans="1:12">
      <c r="A198" s="268">
        <v>256990</v>
      </c>
      <c r="B198" s="268">
        <v>256140</v>
      </c>
      <c r="C198" s="268">
        <v>257750</v>
      </c>
      <c r="D198" s="268">
        <v>257640</v>
      </c>
      <c r="E198">
        <v>1970</v>
      </c>
      <c r="F198" s="137">
        <v>7.7000000000000002E-3</v>
      </c>
      <c r="G198" s="202">
        <v>44200</v>
      </c>
      <c r="H198" t="s">
        <v>6308</v>
      </c>
      <c r="I198" s="40" t="s">
        <v>6427</v>
      </c>
      <c r="L198" s="40" t="str">
        <f t="shared" si="4"/>
        <v>USD,20210104,255650,257750,255640,257640,1,1,1</v>
      </c>
    </row>
    <row r="199" spans="1:12">
      <c r="A199" s="268">
        <v>257020</v>
      </c>
      <c r="B199" s="268">
        <v>256940</v>
      </c>
      <c r="C199" s="268">
        <v>256250</v>
      </c>
      <c r="D199" s="268">
        <v>255670</v>
      </c>
      <c r="E199">
        <v>520</v>
      </c>
      <c r="F199" s="137">
        <v>2E-3</v>
      </c>
      <c r="G199" s="202">
        <v>44199</v>
      </c>
      <c r="H199" t="s">
        <v>6570</v>
      </c>
      <c r="I199" s="40" t="s">
        <v>6427</v>
      </c>
      <c r="L199" s="40" t="str">
        <f t="shared" si="4"/>
        <v>USD,20210103,256160,256250,255640,255670,1,1,1</v>
      </c>
    </row>
    <row r="200" spans="1:12">
      <c r="A200" s="268">
        <v>256980</v>
      </c>
      <c r="B200" s="268">
        <v>256940</v>
      </c>
      <c r="C200" s="268">
        <v>257050</v>
      </c>
      <c r="D200" s="268">
        <v>256190</v>
      </c>
      <c r="E200">
        <v>820</v>
      </c>
      <c r="F200" s="137">
        <v>3.2000000000000002E-3</v>
      </c>
      <c r="G200" s="202">
        <v>44198</v>
      </c>
      <c r="H200" t="s">
        <v>6571</v>
      </c>
      <c r="I200" s="40" t="s">
        <v>6427</v>
      </c>
      <c r="L200" s="40" t="str">
        <f t="shared" si="4"/>
        <v>USD,20210102,256990,257050,256140,256190,1,1,1</v>
      </c>
    </row>
    <row r="201" spans="1:12">
      <c r="A201" s="268">
        <v>257440</v>
      </c>
      <c r="B201" s="268">
        <v>256940</v>
      </c>
      <c r="C201" s="268">
        <v>257050</v>
      </c>
      <c r="D201" s="268">
        <v>257010</v>
      </c>
      <c r="E201">
        <v>30</v>
      </c>
      <c r="F201" s="137">
        <v>1E-4</v>
      </c>
      <c r="G201" s="202">
        <v>44196</v>
      </c>
      <c r="H201" t="s">
        <v>6572</v>
      </c>
      <c r="I201" s="40" t="s">
        <v>6427</v>
      </c>
      <c r="L201" s="40" t="str">
        <f t="shared" si="4"/>
        <v>USD,20201231,257020,257050,256940,257010,1,1,1</v>
      </c>
    </row>
    <row r="202" spans="1:12">
      <c r="A202" s="268">
        <v>257350</v>
      </c>
      <c r="B202" s="268">
        <v>257340</v>
      </c>
      <c r="C202" s="268">
        <v>257050</v>
      </c>
      <c r="D202" s="268">
        <v>257040</v>
      </c>
      <c r="E202">
        <v>80</v>
      </c>
      <c r="F202" s="137">
        <v>2.9999999999999997E-4</v>
      </c>
      <c r="G202" s="202">
        <v>44195</v>
      </c>
      <c r="H202" t="s">
        <v>6573</v>
      </c>
      <c r="I202" s="40" t="s">
        <v>6427</v>
      </c>
      <c r="L202" s="40" t="str">
        <f t="shared" si="4"/>
        <v>USD,20201230,256980,257050,256940,257040,1,1,1</v>
      </c>
    </row>
    <row r="203" spans="1:12">
      <c r="A203" s="268">
        <v>257120</v>
      </c>
      <c r="B203" s="268">
        <v>256840</v>
      </c>
      <c r="C203" s="268">
        <v>257450</v>
      </c>
      <c r="D203" s="268">
        <v>256960</v>
      </c>
      <c r="E203">
        <v>400</v>
      </c>
      <c r="F203" s="137">
        <v>1.6000000000000001E-3</v>
      </c>
      <c r="G203" s="202">
        <v>44194</v>
      </c>
      <c r="H203" t="s">
        <v>6574</v>
      </c>
      <c r="I203" s="40" t="s">
        <v>6427</v>
      </c>
      <c r="L203" s="40" t="str">
        <f t="shared" si="4"/>
        <v>USD,20201229,257440,257450,256940,256960,1,1,1</v>
      </c>
    </row>
    <row r="204" spans="1:12">
      <c r="A204" s="268">
        <v>258570</v>
      </c>
      <c r="B204" s="268">
        <v>257040</v>
      </c>
      <c r="C204" s="268">
        <v>257450</v>
      </c>
      <c r="D204" s="268">
        <v>257360</v>
      </c>
      <c r="E204">
        <v>70</v>
      </c>
      <c r="F204" s="137">
        <v>2.9999999999999997E-4</v>
      </c>
      <c r="G204" s="202">
        <v>44193</v>
      </c>
      <c r="H204" t="s">
        <v>6575</v>
      </c>
      <c r="I204" s="40" t="s">
        <v>6427</v>
      </c>
      <c r="L204" s="40" t="str">
        <f t="shared" si="4"/>
        <v>USD,20201228,257350,257450,257340,257360,1,1,1</v>
      </c>
    </row>
    <row r="205" spans="1:12">
      <c r="A205" s="268">
        <v>257810</v>
      </c>
      <c r="B205" s="268">
        <v>257740</v>
      </c>
      <c r="C205" s="268">
        <v>257450</v>
      </c>
      <c r="D205" s="268">
        <v>257430</v>
      </c>
      <c r="E205">
        <v>320</v>
      </c>
      <c r="F205" s="137">
        <v>1.1999999999999999E-3</v>
      </c>
      <c r="G205" s="202">
        <v>44192</v>
      </c>
      <c r="H205" t="s">
        <v>6576</v>
      </c>
      <c r="I205" s="40" t="s">
        <v>6427</v>
      </c>
      <c r="L205" s="40" t="str">
        <f t="shared" si="4"/>
        <v>USD,20201227,257120,257450,256840,257430,1,1,1</v>
      </c>
    </row>
    <row r="206" spans="1:12">
      <c r="A206" s="268">
        <v>255250</v>
      </c>
      <c r="B206" s="268">
        <v>255140</v>
      </c>
      <c r="C206" s="268">
        <v>258650</v>
      </c>
      <c r="D206" s="268">
        <v>257110</v>
      </c>
      <c r="E206">
        <v>1510</v>
      </c>
      <c r="F206" s="137">
        <v>5.8999999999999999E-3</v>
      </c>
      <c r="G206" s="202">
        <v>44191</v>
      </c>
      <c r="H206" t="s">
        <v>6577</v>
      </c>
      <c r="I206" s="40" t="s">
        <v>6427</v>
      </c>
      <c r="L206" s="40" t="str">
        <f t="shared" si="4"/>
        <v>USD,20201226,258570,258650,257040,257110,1,1,1</v>
      </c>
    </row>
    <row r="207" spans="1:12">
      <c r="A207" s="268">
        <v>254460</v>
      </c>
      <c r="B207" s="268">
        <v>254440</v>
      </c>
      <c r="C207" s="268">
        <v>262050</v>
      </c>
      <c r="D207" s="268">
        <v>258620</v>
      </c>
      <c r="E207">
        <v>770</v>
      </c>
      <c r="F207" s="137">
        <v>3.0000000000000001E-3</v>
      </c>
      <c r="G207" s="202">
        <v>44189</v>
      </c>
      <c r="H207" t="s">
        <v>6578</v>
      </c>
      <c r="I207" s="40" t="s">
        <v>6427</v>
      </c>
      <c r="L207" s="40" t="str">
        <f t="shared" si="4"/>
        <v>USD,20201224,257810,262050,257740,258620,1,1,1</v>
      </c>
    </row>
    <row r="208" spans="1:12">
      <c r="A208" s="268">
        <v>253940</v>
      </c>
      <c r="B208" s="268">
        <v>252940</v>
      </c>
      <c r="C208" s="268">
        <v>257850</v>
      </c>
      <c r="D208" s="268">
        <v>257850</v>
      </c>
      <c r="E208">
        <v>2690</v>
      </c>
      <c r="F208" s="137">
        <v>1.0500000000000001E-2</v>
      </c>
      <c r="G208" s="202">
        <v>44188</v>
      </c>
      <c r="H208" t="s">
        <v>6579</v>
      </c>
      <c r="I208" s="40" t="s">
        <v>6427</v>
      </c>
      <c r="L208" s="40" t="str">
        <f t="shared" si="4"/>
        <v>USD,20201223,255250,257850,255140,257850,1,1,1</v>
      </c>
    </row>
    <row r="209" spans="1:12">
      <c r="A209" s="268">
        <v>255050</v>
      </c>
      <c r="B209" s="268">
        <v>253940</v>
      </c>
      <c r="C209" s="268">
        <v>255250</v>
      </c>
      <c r="D209" s="268">
        <v>255160</v>
      </c>
      <c r="E209">
        <v>690</v>
      </c>
      <c r="F209" s="137">
        <v>2.7000000000000001E-3</v>
      </c>
      <c r="G209" s="202">
        <v>44187</v>
      </c>
      <c r="H209" t="s">
        <v>6580</v>
      </c>
      <c r="I209" s="40" t="s">
        <v>6427</v>
      </c>
      <c r="L209" s="40" t="str">
        <f t="shared" si="4"/>
        <v>USD,20201222,254460,255250,254440,255160,1,1,1</v>
      </c>
    </row>
    <row r="210" spans="1:12">
      <c r="A210" s="268">
        <v>257440</v>
      </c>
      <c r="B210" s="268">
        <v>254940</v>
      </c>
      <c r="C210" s="268">
        <v>254550</v>
      </c>
      <c r="D210" s="268">
        <v>254470</v>
      </c>
      <c r="E210">
        <v>510</v>
      </c>
      <c r="F210" s="137">
        <v>2E-3</v>
      </c>
      <c r="G210" s="202">
        <v>44186</v>
      </c>
      <c r="H210" t="s">
        <v>6581</v>
      </c>
      <c r="I210" s="40" t="s">
        <v>6427</v>
      </c>
      <c r="L210" s="40" t="str">
        <f t="shared" si="4"/>
        <v>USD,20201221,253940,254550,252940,254470,1,1,1</v>
      </c>
    </row>
    <row r="211" spans="1:12">
      <c r="A211" s="268">
        <v>258040</v>
      </c>
      <c r="B211" s="268">
        <v>257940</v>
      </c>
      <c r="C211" s="268">
        <v>255050</v>
      </c>
      <c r="D211" s="268">
        <v>253960</v>
      </c>
      <c r="E211">
        <v>1030</v>
      </c>
      <c r="F211" s="137">
        <v>4.1000000000000003E-3</v>
      </c>
      <c r="G211" s="202">
        <v>44185</v>
      </c>
      <c r="H211" t="s">
        <v>6176</v>
      </c>
      <c r="I211" s="40" t="s">
        <v>6427</v>
      </c>
      <c r="L211" s="40" t="str">
        <f t="shared" si="4"/>
        <v>USD,20201220,255050,255050,253940,253960,1,1,1</v>
      </c>
    </row>
    <row r="212" spans="1:12">
      <c r="A212" s="268">
        <v>258480</v>
      </c>
      <c r="B212" s="268">
        <v>257940</v>
      </c>
      <c r="C212" s="268">
        <v>257550</v>
      </c>
      <c r="D212" s="268">
        <v>254990</v>
      </c>
      <c r="E212">
        <v>3030</v>
      </c>
      <c r="F212" s="137">
        <v>1.1900000000000001E-2</v>
      </c>
      <c r="G212" s="202">
        <v>44184</v>
      </c>
      <c r="H212" t="s">
        <v>6582</v>
      </c>
      <c r="I212" s="40" t="s">
        <v>6427</v>
      </c>
      <c r="L212" s="40" t="str">
        <f t="shared" si="4"/>
        <v>USD,20201219,257440,257550,254940,254990,1,1,1</v>
      </c>
    </row>
    <row r="213" spans="1:12">
      <c r="A213" s="268">
        <v>256960</v>
      </c>
      <c r="B213" s="268">
        <v>256440</v>
      </c>
      <c r="C213" s="268">
        <v>258050</v>
      </c>
      <c r="D213" s="268">
        <v>258020</v>
      </c>
      <c r="E213">
        <v>10</v>
      </c>
      <c r="F213" t="s">
        <v>6426</v>
      </c>
      <c r="G213" s="202">
        <v>44182</v>
      </c>
      <c r="H213" t="s">
        <v>6583</v>
      </c>
      <c r="I213" s="40" t="s">
        <v>6427</v>
      </c>
      <c r="L213" s="40" t="str">
        <f t="shared" si="4"/>
        <v>USD,20201217,258040,258050,257940,258020,1,1,1</v>
      </c>
    </row>
    <row r="214" spans="1:12">
      <c r="A214" s="268">
        <v>257980</v>
      </c>
      <c r="B214" s="268">
        <v>256940</v>
      </c>
      <c r="C214" s="268">
        <v>259550</v>
      </c>
      <c r="D214" s="268">
        <v>258030</v>
      </c>
      <c r="E214">
        <v>510</v>
      </c>
      <c r="F214" s="137">
        <v>2E-3</v>
      </c>
      <c r="G214" s="202">
        <v>44181</v>
      </c>
      <c r="H214" t="s">
        <v>6584</v>
      </c>
      <c r="I214" s="40" t="s">
        <v>6427</v>
      </c>
      <c r="L214" s="40" t="str">
        <f t="shared" si="4"/>
        <v>USD,20201216,258480,259550,257940,258030,1,1,1</v>
      </c>
    </row>
    <row r="215" spans="1:12">
      <c r="A215" s="268">
        <v>259960</v>
      </c>
      <c r="B215" s="268">
        <v>257940</v>
      </c>
      <c r="C215" s="268">
        <v>258550</v>
      </c>
      <c r="D215" s="268">
        <v>258540</v>
      </c>
      <c r="E215">
        <v>1590</v>
      </c>
      <c r="F215" s="137">
        <v>6.1999999999999998E-3</v>
      </c>
      <c r="G215" s="202">
        <v>44180</v>
      </c>
      <c r="H215" t="s">
        <v>6586</v>
      </c>
      <c r="I215" s="40" t="s">
        <v>6427</v>
      </c>
      <c r="L215" s="40" t="str">
        <f t="shared" si="4"/>
        <v>USD,20201215,256960,258550,256440,258540,1,1,1</v>
      </c>
    </row>
    <row r="216" spans="1:12">
      <c r="A216" s="268">
        <v>260750</v>
      </c>
      <c r="B216" s="268">
        <v>259940</v>
      </c>
      <c r="C216" s="268">
        <v>258050</v>
      </c>
      <c r="D216" s="268">
        <v>256950</v>
      </c>
      <c r="E216">
        <v>1090</v>
      </c>
      <c r="F216" s="137">
        <v>4.1999999999999997E-3</v>
      </c>
      <c r="G216" s="202">
        <v>44179</v>
      </c>
      <c r="H216" t="s">
        <v>6587</v>
      </c>
      <c r="I216" s="40" t="s">
        <v>6427</v>
      </c>
      <c r="L216" s="40" t="str">
        <f t="shared" si="4"/>
        <v>USD,20201214,257980,258050,256940,256950,1,1,1</v>
      </c>
    </row>
    <row r="217" spans="1:12">
      <c r="A217" s="268">
        <v>261250</v>
      </c>
      <c r="B217" s="268">
        <v>260640</v>
      </c>
      <c r="C217" s="268">
        <v>260050</v>
      </c>
      <c r="D217" s="268">
        <v>258040</v>
      </c>
      <c r="E217">
        <v>2010</v>
      </c>
      <c r="F217" s="137">
        <v>7.7999999999999996E-3</v>
      </c>
      <c r="G217" s="202">
        <v>44178</v>
      </c>
      <c r="H217" t="s">
        <v>6588</v>
      </c>
      <c r="I217" s="40" t="s">
        <v>6427</v>
      </c>
      <c r="L217" s="40" t="str">
        <f t="shared" si="4"/>
        <v>USD,20201213,259960,260050,257940,258040,1,1,1</v>
      </c>
    </row>
    <row r="218" spans="1:12">
      <c r="A218" s="268">
        <v>255970</v>
      </c>
      <c r="B218" s="268">
        <v>255940</v>
      </c>
      <c r="C218" s="268">
        <v>260750</v>
      </c>
      <c r="D218" s="268">
        <v>260050</v>
      </c>
      <c r="E218">
        <v>600</v>
      </c>
      <c r="F218" s="137">
        <v>2.3E-3</v>
      </c>
      <c r="G218" s="202">
        <v>44177</v>
      </c>
      <c r="H218" t="s">
        <v>6589</v>
      </c>
      <c r="I218" s="40" t="s">
        <v>6427</v>
      </c>
      <c r="L218" s="40" t="str">
        <f t="shared" si="4"/>
        <v>USD,20201212,260750,260750,259940,260050,1,1,1</v>
      </c>
    </row>
    <row r="219" spans="1:12">
      <c r="A219" s="268">
        <v>255980</v>
      </c>
      <c r="B219" s="268">
        <v>255940</v>
      </c>
      <c r="C219" s="268">
        <v>261250</v>
      </c>
      <c r="D219" s="268">
        <v>260650</v>
      </c>
      <c r="E219">
        <v>880</v>
      </c>
      <c r="F219" s="137">
        <v>3.3999999999999998E-3</v>
      </c>
      <c r="G219" s="202">
        <v>44175</v>
      </c>
      <c r="H219" t="s">
        <v>6590</v>
      </c>
      <c r="I219" s="40" t="s">
        <v>6427</v>
      </c>
      <c r="L219" s="40" t="str">
        <f t="shared" si="4"/>
        <v>USD,20201210,261250,261250,260640,260650,1,1,1</v>
      </c>
    </row>
    <row r="220" spans="1:12">
      <c r="A220" s="268">
        <v>256010</v>
      </c>
      <c r="B220" s="268">
        <v>255940</v>
      </c>
      <c r="C220" s="268">
        <v>259850</v>
      </c>
      <c r="D220" s="268">
        <v>259770</v>
      </c>
      <c r="E220">
        <v>3830</v>
      </c>
      <c r="F220" s="137">
        <v>1.4999999999999999E-2</v>
      </c>
      <c r="G220" s="202">
        <v>44174</v>
      </c>
      <c r="H220" t="s">
        <v>6591</v>
      </c>
      <c r="I220" s="40" t="s">
        <v>6427</v>
      </c>
      <c r="L220" s="40" t="str">
        <f t="shared" si="4"/>
        <v>USD,20201209,255970,259850,255940,259770,1,1,1</v>
      </c>
    </row>
    <row r="221" spans="1:12">
      <c r="A221" s="268">
        <v>256950</v>
      </c>
      <c r="B221" s="268">
        <v>255940</v>
      </c>
      <c r="C221" s="268">
        <v>256050</v>
      </c>
      <c r="D221" s="268">
        <v>255940</v>
      </c>
      <c r="E221">
        <v>10</v>
      </c>
      <c r="F221" t="s">
        <v>6426</v>
      </c>
      <c r="G221" s="202">
        <v>44173</v>
      </c>
      <c r="H221" t="s">
        <v>6592</v>
      </c>
      <c r="I221" s="40" t="s">
        <v>6427</v>
      </c>
      <c r="L221" s="40" t="str">
        <f t="shared" si="4"/>
        <v>USD,20201208,255980,256050,255940,255940,1,1,1</v>
      </c>
    </row>
    <row r="222" spans="1:12">
      <c r="A222" s="268">
        <v>254710</v>
      </c>
      <c r="B222" s="268">
        <v>254670</v>
      </c>
      <c r="C222" s="268">
        <v>256050</v>
      </c>
      <c r="D222" s="268">
        <v>255950</v>
      </c>
      <c r="E222" t="s">
        <v>6426</v>
      </c>
      <c r="F222" t="s">
        <v>6426</v>
      </c>
      <c r="G222" s="202">
        <v>44172</v>
      </c>
      <c r="H222" t="s">
        <v>6593</v>
      </c>
      <c r="I222" s="40" t="s">
        <v>6427</v>
      </c>
      <c r="L222" s="40" t="str">
        <f t="shared" si="4"/>
        <v>USD,20201207,256010,256050,255940,255950,1,1,1</v>
      </c>
    </row>
    <row r="223" spans="1:12">
      <c r="A223" s="268">
        <v>254730</v>
      </c>
      <c r="B223" s="268">
        <v>254640</v>
      </c>
      <c r="C223" s="268">
        <v>257050</v>
      </c>
      <c r="D223" s="268">
        <v>255950</v>
      </c>
      <c r="E223">
        <v>1070</v>
      </c>
      <c r="F223" s="137">
        <v>4.1999999999999997E-3</v>
      </c>
      <c r="G223" s="202">
        <v>44171</v>
      </c>
      <c r="H223" t="s">
        <v>6594</v>
      </c>
      <c r="I223" s="40" t="s">
        <v>6427</v>
      </c>
      <c r="L223" s="40" t="str">
        <f t="shared" si="4"/>
        <v>USD,20201206,256950,257050,255940,255950,1,1,1</v>
      </c>
    </row>
    <row r="224" spans="1:12">
      <c r="A224" s="268">
        <v>256190</v>
      </c>
      <c r="B224" s="268">
        <v>256160</v>
      </c>
      <c r="C224" s="268">
        <v>257050</v>
      </c>
      <c r="D224" s="268">
        <v>257020</v>
      </c>
      <c r="E224">
        <v>2340</v>
      </c>
      <c r="F224" s="137">
        <v>9.1999999999999998E-3</v>
      </c>
      <c r="G224" s="202">
        <v>44170</v>
      </c>
      <c r="H224" t="s">
        <v>6595</v>
      </c>
      <c r="I224" s="40" t="s">
        <v>6427</v>
      </c>
      <c r="L224" s="40" t="str">
        <f t="shared" si="4"/>
        <v>USD,20201205,254710,257050,254670,257020,1,1,1</v>
      </c>
    </row>
    <row r="225" spans="1:12">
      <c r="A225" s="268">
        <v>250070</v>
      </c>
      <c r="B225" s="268">
        <v>245160</v>
      </c>
      <c r="C225" s="268">
        <v>254770</v>
      </c>
      <c r="D225" s="268">
        <v>254680</v>
      </c>
      <c r="E225">
        <v>1550</v>
      </c>
      <c r="F225" s="137">
        <v>6.1000000000000004E-3</v>
      </c>
      <c r="G225" s="202">
        <v>44168</v>
      </c>
      <c r="H225" t="s">
        <v>6596</v>
      </c>
      <c r="I225" s="40" t="s">
        <v>6427</v>
      </c>
      <c r="L225" s="40" t="str">
        <f t="shared" si="4"/>
        <v>USD,20201203,254730,254770,254640,254680,1,1,1</v>
      </c>
    </row>
    <row r="226" spans="1:12">
      <c r="A226" s="268">
        <v>245490</v>
      </c>
      <c r="B226" s="268">
        <v>245460</v>
      </c>
      <c r="C226" s="268">
        <v>256270</v>
      </c>
      <c r="D226" s="268">
        <v>256230</v>
      </c>
      <c r="E226">
        <v>70</v>
      </c>
      <c r="F226" s="137">
        <v>2.9999999999999997E-4</v>
      </c>
      <c r="G226" s="202">
        <v>44167</v>
      </c>
      <c r="H226" t="s">
        <v>6597</v>
      </c>
      <c r="I226" s="40" t="s">
        <v>6427</v>
      </c>
      <c r="L226" s="40" t="str">
        <f t="shared" si="4"/>
        <v>USD,20201202,256190,256270,256160,256230,1,1,1</v>
      </c>
    </row>
    <row r="227" spans="1:12">
      <c r="A227" s="268">
        <v>247560</v>
      </c>
      <c r="B227" s="268">
        <v>243950</v>
      </c>
      <c r="C227" s="268">
        <v>256270</v>
      </c>
      <c r="D227" s="268">
        <v>256160</v>
      </c>
      <c r="E227">
        <v>6130</v>
      </c>
      <c r="F227" s="137">
        <v>2.4500000000000001E-2</v>
      </c>
      <c r="G227" s="202">
        <v>44166</v>
      </c>
      <c r="H227" t="s">
        <v>6598</v>
      </c>
      <c r="I227" s="40" t="s">
        <v>6427</v>
      </c>
      <c r="L227" s="40" t="str">
        <f t="shared" si="4"/>
        <v>USD,20201201,250070,256270,245160,256160,1,1,1</v>
      </c>
    </row>
    <row r="228" spans="1:12">
      <c r="A228" s="268">
        <v>247560</v>
      </c>
      <c r="B228" s="268">
        <v>247460</v>
      </c>
      <c r="C228" s="268">
        <v>253050</v>
      </c>
      <c r="D228" s="268">
        <v>250030</v>
      </c>
      <c r="E228">
        <v>4520</v>
      </c>
      <c r="F228" s="137">
        <v>1.84E-2</v>
      </c>
      <c r="G228" s="202">
        <v>44165</v>
      </c>
      <c r="H228" t="s">
        <v>6599</v>
      </c>
      <c r="I228" s="40" t="s">
        <v>6427</v>
      </c>
      <c r="L228" s="40" t="str">
        <f t="shared" si="4"/>
        <v>USD,20201130,245490,253050,245460,250030,1,1,1</v>
      </c>
    </row>
    <row r="229" spans="1:12">
      <c r="A229" s="268">
        <v>248500</v>
      </c>
      <c r="B229" s="268">
        <v>247460</v>
      </c>
      <c r="C229" s="268">
        <v>247570</v>
      </c>
      <c r="D229" s="268">
        <v>245510</v>
      </c>
      <c r="E229">
        <v>2020</v>
      </c>
      <c r="F229" s="137">
        <v>8.2000000000000007E-3</v>
      </c>
      <c r="G229" s="202">
        <v>44164</v>
      </c>
      <c r="H229" t="s">
        <v>6600</v>
      </c>
      <c r="I229" s="40" t="s">
        <v>6427</v>
      </c>
      <c r="L229" s="40" t="str">
        <f t="shared" si="4"/>
        <v>USD,20201129,247560,247570,243950,245510,1,1,1</v>
      </c>
    </row>
    <row r="230" spans="1:12">
      <c r="A230" s="268">
        <v>250490</v>
      </c>
      <c r="B230" s="268">
        <v>249500</v>
      </c>
      <c r="C230" s="268">
        <v>247570</v>
      </c>
      <c r="D230" s="268">
        <v>247530</v>
      </c>
      <c r="E230">
        <v>40</v>
      </c>
      <c r="F230" s="137">
        <v>2.0000000000000001E-4</v>
      </c>
      <c r="G230" s="202">
        <v>44163</v>
      </c>
      <c r="H230" t="s">
        <v>6601</v>
      </c>
      <c r="I230" s="40" t="s">
        <v>6427</v>
      </c>
      <c r="L230" s="40" t="str">
        <f t="shared" si="4"/>
        <v>USD,20201128,247560,247570,247460,247530,1,1,1</v>
      </c>
    </row>
    <row r="231" spans="1:12">
      <c r="A231" s="268">
        <v>255470</v>
      </c>
      <c r="B231" s="268">
        <v>250450</v>
      </c>
      <c r="C231" s="268">
        <v>248570</v>
      </c>
      <c r="D231" s="268">
        <v>247570</v>
      </c>
      <c r="E231">
        <v>1930</v>
      </c>
      <c r="F231" s="137">
        <v>7.7999999999999996E-3</v>
      </c>
      <c r="G231" s="202">
        <v>44161</v>
      </c>
      <c r="H231" t="s">
        <v>6602</v>
      </c>
      <c r="I231" s="40" t="s">
        <v>6427</v>
      </c>
      <c r="L231" s="40" t="str">
        <f t="shared" si="4"/>
        <v>USD,20201126,248500,248570,247460,247570,1,1,1</v>
      </c>
    </row>
    <row r="232" spans="1:12">
      <c r="A232" s="268">
        <v>256030</v>
      </c>
      <c r="B232" s="268">
        <v>255450</v>
      </c>
      <c r="C232" s="268">
        <v>250570</v>
      </c>
      <c r="D232" s="268">
        <v>249500</v>
      </c>
      <c r="E232">
        <v>960</v>
      </c>
      <c r="F232" s="137">
        <v>3.8E-3</v>
      </c>
      <c r="G232" s="202">
        <v>44160</v>
      </c>
      <c r="H232" t="s">
        <v>6603</v>
      </c>
      <c r="I232" s="40" t="s">
        <v>6427</v>
      </c>
      <c r="L232" s="40" t="str">
        <f t="shared" si="4"/>
        <v>USD,20201125,250490,250570,249500,249500,1,1,1</v>
      </c>
    </row>
    <row r="233" spans="1:12">
      <c r="A233" s="268">
        <v>258470</v>
      </c>
      <c r="B233" s="268">
        <v>254450</v>
      </c>
      <c r="C233" s="268">
        <v>255560</v>
      </c>
      <c r="D233" s="268">
        <v>250460</v>
      </c>
      <c r="E233">
        <v>4990</v>
      </c>
      <c r="F233" s="137">
        <v>1.9900000000000001E-2</v>
      </c>
      <c r="G233" s="202">
        <v>44159</v>
      </c>
      <c r="H233" t="s">
        <v>6604</v>
      </c>
      <c r="I233" s="40" t="s">
        <v>6427</v>
      </c>
      <c r="L233" s="40" t="str">
        <f t="shared" si="4"/>
        <v>USD,20201124,255470,255560,250450,250460,1,1,1</v>
      </c>
    </row>
    <row r="234" spans="1:12">
      <c r="A234" s="268">
        <v>256250</v>
      </c>
      <c r="B234" s="268">
        <v>256150</v>
      </c>
      <c r="C234" s="268">
        <v>256060</v>
      </c>
      <c r="D234" s="268">
        <v>255450</v>
      </c>
      <c r="E234">
        <v>920</v>
      </c>
      <c r="F234" s="137">
        <v>3.5999999999999999E-3</v>
      </c>
      <c r="G234" s="202">
        <v>44158</v>
      </c>
      <c r="H234" t="s">
        <v>6605</v>
      </c>
      <c r="I234" s="40" t="s">
        <v>6427</v>
      </c>
      <c r="L234" s="40" t="str">
        <f t="shared" si="4"/>
        <v>USD,20201123,256030,256060,255450,255450,1,1,1</v>
      </c>
    </row>
    <row r="235" spans="1:12">
      <c r="A235" s="268">
        <v>256170</v>
      </c>
      <c r="B235" s="268">
        <v>256150</v>
      </c>
      <c r="C235" s="268">
        <v>258560</v>
      </c>
      <c r="D235" s="268">
        <v>254530</v>
      </c>
      <c r="E235">
        <v>5020</v>
      </c>
      <c r="F235" s="137">
        <v>1.9699999999999999E-2</v>
      </c>
      <c r="G235" s="202">
        <v>44157</v>
      </c>
      <c r="H235" t="s">
        <v>6585</v>
      </c>
      <c r="I235" s="40" t="s">
        <v>6427</v>
      </c>
      <c r="L235" s="40" t="str">
        <f t="shared" si="4"/>
        <v>USD,20201122,258470,258560,254450,254530,1,1,1</v>
      </c>
    </row>
    <row r="236" spans="1:12">
      <c r="A236" s="268">
        <v>259020</v>
      </c>
      <c r="B236" s="268">
        <v>256150</v>
      </c>
      <c r="C236" s="268">
        <v>260560</v>
      </c>
      <c r="D236" s="268">
        <v>259550</v>
      </c>
      <c r="E236">
        <v>3350</v>
      </c>
      <c r="F236" s="137">
        <v>1.3100000000000001E-2</v>
      </c>
      <c r="G236" s="202">
        <v>44156</v>
      </c>
      <c r="H236" t="s">
        <v>6606</v>
      </c>
      <c r="I236" s="40" t="s">
        <v>6427</v>
      </c>
      <c r="L236" s="40" t="str">
        <f t="shared" si="4"/>
        <v>USD,20201121,256250,260560,256150,259550,1,1,1</v>
      </c>
    </row>
    <row r="237" spans="1:12">
      <c r="A237" s="268">
        <v>258960</v>
      </c>
      <c r="B237" s="268">
        <v>258950</v>
      </c>
      <c r="C237" s="268">
        <v>256260</v>
      </c>
      <c r="D237" s="268">
        <v>256200</v>
      </c>
      <c r="E237">
        <v>20</v>
      </c>
      <c r="F237" s="137">
        <v>1E-4</v>
      </c>
      <c r="G237" s="202">
        <v>44154</v>
      </c>
      <c r="H237" t="s">
        <v>6607</v>
      </c>
      <c r="I237" s="40" t="s">
        <v>6427</v>
      </c>
      <c r="L237" s="40" t="str">
        <f t="shared" si="4"/>
        <v>USD,20201119,256170,256260,256150,256200,1,1,1</v>
      </c>
    </row>
    <row r="238" spans="1:12">
      <c r="A238" s="268">
        <v>260020</v>
      </c>
      <c r="B238" s="268">
        <v>258950</v>
      </c>
      <c r="C238" s="268">
        <v>259020</v>
      </c>
      <c r="D238" s="268">
        <v>256220</v>
      </c>
      <c r="E238">
        <v>2750</v>
      </c>
      <c r="F238" s="137">
        <v>1.0699999999999999E-2</v>
      </c>
      <c r="G238" s="202">
        <v>44153</v>
      </c>
      <c r="H238" t="s">
        <v>6608</v>
      </c>
      <c r="I238" s="40" t="s">
        <v>6427</v>
      </c>
      <c r="L238" s="40" t="str">
        <f t="shared" si="4"/>
        <v>USD,20201118,259020,259020,256150,256220,1,1,1</v>
      </c>
    </row>
    <row r="239" spans="1:12">
      <c r="A239" s="268">
        <v>267480</v>
      </c>
      <c r="B239" s="268">
        <v>259950</v>
      </c>
      <c r="C239" s="268">
        <v>262060</v>
      </c>
      <c r="D239" s="268">
        <v>258970</v>
      </c>
      <c r="E239">
        <v>10</v>
      </c>
      <c r="F239" t="s">
        <v>6426</v>
      </c>
      <c r="G239" s="202">
        <v>44152</v>
      </c>
      <c r="H239" t="s">
        <v>6609</v>
      </c>
      <c r="I239" s="40" t="s">
        <v>6427</v>
      </c>
      <c r="L239" s="40" t="str">
        <f t="shared" si="4"/>
        <v>USD,20201117,258960,262060,258950,258970,1,1,1</v>
      </c>
    </row>
    <row r="240" spans="1:12">
      <c r="A240" s="268">
        <v>268550</v>
      </c>
      <c r="B240" s="268">
        <v>267450</v>
      </c>
      <c r="C240" s="268">
        <v>260060</v>
      </c>
      <c r="D240" s="268">
        <v>258980</v>
      </c>
      <c r="E240">
        <v>1050</v>
      </c>
      <c r="F240" s="137">
        <v>4.1000000000000003E-3</v>
      </c>
      <c r="G240" s="202">
        <v>44151</v>
      </c>
      <c r="H240" t="s">
        <v>6610</v>
      </c>
      <c r="I240" s="40" t="s">
        <v>6427</v>
      </c>
      <c r="L240" s="40" t="str">
        <f t="shared" si="4"/>
        <v>USD,20201116,260020,260060,258950,258980,1,1,1</v>
      </c>
    </row>
    <row r="241" spans="1:12">
      <c r="A241" s="268">
        <v>269530</v>
      </c>
      <c r="B241" s="268">
        <v>268450</v>
      </c>
      <c r="C241" s="268">
        <v>267560</v>
      </c>
      <c r="D241" s="268">
        <v>260030</v>
      </c>
      <c r="E241">
        <v>7500</v>
      </c>
      <c r="F241" s="137">
        <v>2.8799999999999999E-2</v>
      </c>
      <c r="G241" s="202">
        <v>44150</v>
      </c>
      <c r="H241" t="s">
        <v>6611</v>
      </c>
      <c r="I241" s="40" t="s">
        <v>6427</v>
      </c>
      <c r="L241" s="40" t="str">
        <f t="shared" si="4"/>
        <v>USD,20201115,267480,267560,259950,260030,1,1,1</v>
      </c>
    </row>
    <row r="242" spans="1:12">
      <c r="A242" s="268">
        <v>271040</v>
      </c>
      <c r="B242" s="268">
        <v>269950</v>
      </c>
      <c r="C242" s="268">
        <v>269560</v>
      </c>
      <c r="D242" s="268">
        <v>267530</v>
      </c>
      <c r="E242">
        <v>990</v>
      </c>
      <c r="F242" s="137">
        <v>3.7000000000000002E-3</v>
      </c>
      <c r="G242" s="202">
        <v>44149</v>
      </c>
      <c r="H242" t="s">
        <v>6612</v>
      </c>
      <c r="I242" s="40" t="s">
        <v>6427</v>
      </c>
      <c r="L242" s="40" t="str">
        <f t="shared" si="4"/>
        <v>USD,20201114,268550,269560,267450,267530,1,1,1</v>
      </c>
    </row>
    <row r="243" spans="1:12">
      <c r="A243" s="268">
        <v>248030</v>
      </c>
      <c r="B243" s="268">
        <v>247950</v>
      </c>
      <c r="C243" s="268">
        <v>269560</v>
      </c>
      <c r="D243" s="268">
        <v>268520</v>
      </c>
      <c r="E243">
        <v>1470</v>
      </c>
      <c r="F243" s="137">
        <v>5.4999999999999997E-3</v>
      </c>
      <c r="G243" s="202">
        <v>44147</v>
      </c>
      <c r="H243" t="s">
        <v>6613</v>
      </c>
      <c r="I243" s="40" t="s">
        <v>6427</v>
      </c>
      <c r="L243" s="40" t="str">
        <f t="shared" si="4"/>
        <v>USD,20201112,269530,269560,268450,268520,1,1,1</v>
      </c>
    </row>
    <row r="244" spans="1:12">
      <c r="A244" s="268">
        <v>234950</v>
      </c>
      <c r="B244" s="268">
        <v>234950</v>
      </c>
      <c r="C244" s="268">
        <v>271060</v>
      </c>
      <c r="D244" s="268">
        <v>269990</v>
      </c>
      <c r="E244">
        <v>1000</v>
      </c>
      <c r="F244" s="137">
        <v>3.7000000000000002E-3</v>
      </c>
      <c r="G244" s="202">
        <v>44146</v>
      </c>
      <c r="H244" t="s">
        <v>6614</v>
      </c>
      <c r="I244" s="40" t="s">
        <v>6427</v>
      </c>
      <c r="L244" s="40" t="str">
        <f t="shared" si="4"/>
        <v>USD,20201111,271040,271060,269950,269990,1,1,1</v>
      </c>
    </row>
    <row r="245" spans="1:12">
      <c r="A245" s="268">
        <v>228900</v>
      </c>
      <c r="B245" s="268">
        <v>228850</v>
      </c>
      <c r="C245" s="268">
        <v>271060</v>
      </c>
      <c r="D245" s="268">
        <v>270990</v>
      </c>
      <c r="E245">
        <v>23000</v>
      </c>
      <c r="F245" s="137">
        <v>9.2700000000000005E-2</v>
      </c>
      <c r="G245" s="202">
        <v>44145</v>
      </c>
      <c r="H245" t="s">
        <v>6615</v>
      </c>
      <c r="I245" s="40" t="s">
        <v>6427</v>
      </c>
      <c r="L245" s="40" t="str">
        <f t="shared" si="4"/>
        <v>USD,20201110,248030,271060,247950,270990,1,1,1</v>
      </c>
    </row>
    <row r="246" spans="1:12">
      <c r="A246" s="268">
        <v>263450</v>
      </c>
      <c r="B246" s="268">
        <v>244950</v>
      </c>
      <c r="C246" s="268">
        <v>248060</v>
      </c>
      <c r="D246" s="268">
        <v>247990</v>
      </c>
      <c r="E246">
        <v>13000</v>
      </c>
      <c r="F246" s="137">
        <v>5.5300000000000002E-2</v>
      </c>
      <c r="G246" s="202">
        <v>44144</v>
      </c>
      <c r="H246" t="s">
        <v>6616</v>
      </c>
      <c r="I246" s="40" t="s">
        <v>6427</v>
      </c>
      <c r="L246" s="40" t="str">
        <f t="shared" si="4"/>
        <v>USD,20201109,234950,248060,234950,247990,1,1,1</v>
      </c>
    </row>
    <row r="247" spans="1:12">
      <c r="A247" s="268">
        <v>268460</v>
      </c>
      <c r="B247" s="268">
        <v>263450</v>
      </c>
      <c r="C247" s="268">
        <v>235060</v>
      </c>
      <c r="D247" s="268">
        <v>234990</v>
      </c>
      <c r="E247">
        <v>10000</v>
      </c>
      <c r="F247" s="137">
        <v>4.2599999999999999E-2</v>
      </c>
      <c r="G247" s="202">
        <v>44143</v>
      </c>
      <c r="H247" t="s">
        <v>6617</v>
      </c>
      <c r="I247" s="40" t="s">
        <v>6427</v>
      </c>
      <c r="L247" s="40" t="str">
        <f t="shared" ref="L247:L310" si="5">CONCATENATE("USD",I247,TEXT(G247,"yyyymmdd"),I247,A245,I247,C247,I247,B245,I247,D247,I247,"1,1,1")</f>
        <v>USD,20201108,228900,235060,228850,234990,1,1,1</v>
      </c>
    </row>
    <row r="248" spans="1:12">
      <c r="A248" s="268">
        <v>282370</v>
      </c>
      <c r="B248" s="268">
        <v>282350</v>
      </c>
      <c r="C248" s="268">
        <v>263450</v>
      </c>
      <c r="D248" s="268">
        <v>244990</v>
      </c>
      <c r="E248">
        <v>18560</v>
      </c>
      <c r="F248" s="137">
        <v>7.5800000000000006E-2</v>
      </c>
      <c r="G248" s="202">
        <v>44142</v>
      </c>
      <c r="H248" t="s">
        <v>6618</v>
      </c>
      <c r="I248" s="40" t="s">
        <v>6427</v>
      </c>
      <c r="L248" s="40" t="str">
        <f t="shared" si="5"/>
        <v>USD,20201107,263450,263450,244950,244990,1,1,1</v>
      </c>
    </row>
    <row r="249" spans="1:12">
      <c r="A249" s="268">
        <v>272020</v>
      </c>
      <c r="B249" s="268">
        <v>271950</v>
      </c>
      <c r="C249" s="268">
        <v>268560</v>
      </c>
      <c r="D249" s="268">
        <v>263550</v>
      </c>
      <c r="E249">
        <v>25720</v>
      </c>
      <c r="F249" s="137">
        <v>9.7600000000000006E-2</v>
      </c>
      <c r="G249" s="202">
        <v>44140</v>
      </c>
      <c r="H249" t="s">
        <v>6619</v>
      </c>
      <c r="I249" s="40" t="s">
        <v>6427</v>
      </c>
      <c r="L249" s="40" t="str">
        <f t="shared" si="5"/>
        <v>USD,20201105,268460,268560,263450,263550,1,1,1</v>
      </c>
    </row>
    <row r="250" spans="1:12">
      <c r="A250" s="268">
        <v>268670</v>
      </c>
      <c r="B250" s="268">
        <v>266950</v>
      </c>
      <c r="C250" s="268">
        <v>289360</v>
      </c>
      <c r="D250" s="268">
        <v>289270</v>
      </c>
      <c r="E250">
        <v>6850</v>
      </c>
      <c r="F250" s="137">
        <v>2.4299999999999999E-2</v>
      </c>
      <c r="G250" s="202">
        <v>44139</v>
      </c>
      <c r="H250" t="s">
        <v>6620</v>
      </c>
      <c r="I250" s="40" t="s">
        <v>6427</v>
      </c>
      <c r="L250" s="40" t="str">
        <f t="shared" si="5"/>
        <v>USD,20201104,282370,289360,282350,289270,1,1,1</v>
      </c>
    </row>
    <row r="251" spans="1:12">
      <c r="A251" s="268">
        <v>277260</v>
      </c>
      <c r="B251" s="268">
        <v>268650</v>
      </c>
      <c r="C251" s="268">
        <v>282460</v>
      </c>
      <c r="D251" s="268">
        <v>282420</v>
      </c>
      <c r="E251">
        <v>10360</v>
      </c>
      <c r="F251" s="137">
        <v>3.8100000000000002E-2</v>
      </c>
      <c r="G251" s="202">
        <v>44137</v>
      </c>
      <c r="H251" t="s">
        <v>6621</v>
      </c>
      <c r="I251" s="40" t="s">
        <v>6427</v>
      </c>
      <c r="L251" s="40" t="str">
        <f t="shared" si="5"/>
        <v>USD,20201102,272020,282460,271950,282420,1,1,1</v>
      </c>
    </row>
    <row r="252" spans="1:12">
      <c r="A252" s="268">
        <v>277460</v>
      </c>
      <c r="B252" s="268">
        <v>277450</v>
      </c>
      <c r="C252" s="268">
        <v>272060</v>
      </c>
      <c r="D252" s="268">
        <v>272060</v>
      </c>
      <c r="E252">
        <v>3340</v>
      </c>
      <c r="F252" s="137">
        <v>1.24E-2</v>
      </c>
      <c r="G252" s="202">
        <v>44136</v>
      </c>
      <c r="H252" t="s">
        <v>6622</v>
      </c>
      <c r="I252" s="40" t="s">
        <v>6427</v>
      </c>
      <c r="L252" s="40" t="str">
        <f t="shared" si="5"/>
        <v>USD,20201101,268670,272060,266950,272060,1,1,1</v>
      </c>
    </row>
    <row r="253" spans="1:12">
      <c r="A253" s="268">
        <v>282300</v>
      </c>
      <c r="B253" s="268">
        <v>278450</v>
      </c>
      <c r="C253" s="268">
        <v>277260</v>
      </c>
      <c r="D253" s="268">
        <v>268720</v>
      </c>
      <c r="E253">
        <v>8780</v>
      </c>
      <c r="F253" s="137">
        <v>3.27E-2</v>
      </c>
      <c r="G253" s="202">
        <v>44135</v>
      </c>
      <c r="H253" t="s">
        <v>6623</v>
      </c>
      <c r="I253" s="40" t="s">
        <v>6427</v>
      </c>
      <c r="L253" s="40" t="str">
        <f t="shared" si="5"/>
        <v>USD,20201031,277260,277260,268650,268720,1,1,1</v>
      </c>
    </row>
    <row r="254" spans="1:12">
      <c r="A254" s="268">
        <v>279770</v>
      </c>
      <c r="B254" s="268">
        <v>279750</v>
      </c>
      <c r="C254" s="268">
        <v>277560</v>
      </c>
      <c r="D254" s="268">
        <v>277500</v>
      </c>
      <c r="E254">
        <v>970</v>
      </c>
      <c r="F254" s="137">
        <v>3.5000000000000001E-3</v>
      </c>
      <c r="G254" s="202">
        <v>44133</v>
      </c>
      <c r="H254" t="s">
        <v>6624</v>
      </c>
      <c r="I254" s="40" t="s">
        <v>6427</v>
      </c>
      <c r="L254" s="40" t="str">
        <f t="shared" si="5"/>
        <v>USD,20201029,277460,277560,277450,277500,1,1,1</v>
      </c>
    </row>
    <row r="255" spans="1:12">
      <c r="A255" s="268">
        <v>289960</v>
      </c>
      <c r="B255" s="268">
        <v>279750</v>
      </c>
      <c r="C255" s="268">
        <v>282360</v>
      </c>
      <c r="D255" s="268">
        <v>278470</v>
      </c>
      <c r="E255">
        <v>3780</v>
      </c>
      <c r="F255" s="137">
        <v>1.3599999999999999E-2</v>
      </c>
      <c r="G255" s="202">
        <v>44132</v>
      </c>
      <c r="H255" t="s">
        <v>6625</v>
      </c>
      <c r="I255" s="40" t="s">
        <v>6427</v>
      </c>
      <c r="L255" s="40" t="str">
        <f t="shared" si="5"/>
        <v>USD,20201028,282300,282360,278450,278470,1,1,1</v>
      </c>
    </row>
    <row r="256" spans="1:12">
      <c r="A256" s="268">
        <v>293820</v>
      </c>
      <c r="B256" s="268">
        <v>289950</v>
      </c>
      <c r="C256" s="268">
        <v>285360</v>
      </c>
      <c r="D256" s="268">
        <v>282250</v>
      </c>
      <c r="E256">
        <v>2390</v>
      </c>
      <c r="F256" s="137">
        <v>8.5000000000000006E-3</v>
      </c>
      <c r="G256" s="202">
        <v>44131</v>
      </c>
      <c r="H256" t="s">
        <v>6626</v>
      </c>
      <c r="I256" s="40" t="s">
        <v>6427</v>
      </c>
      <c r="L256" s="40" t="str">
        <f t="shared" si="5"/>
        <v>USD,20201027,279770,285360,279750,282250,1,1,1</v>
      </c>
    </row>
    <row r="257" spans="1:12">
      <c r="A257" s="268">
        <v>292780</v>
      </c>
      <c r="B257" s="268">
        <v>292750</v>
      </c>
      <c r="C257" s="268">
        <v>289990</v>
      </c>
      <c r="D257" s="268">
        <v>279860</v>
      </c>
      <c r="E257">
        <v>10140</v>
      </c>
      <c r="F257" s="137">
        <v>3.6200000000000003E-2</v>
      </c>
      <c r="G257" s="202">
        <v>44130</v>
      </c>
      <c r="H257" t="s">
        <v>6627</v>
      </c>
      <c r="I257" s="40" t="s">
        <v>6427</v>
      </c>
      <c r="L257" s="40" t="str">
        <f t="shared" si="5"/>
        <v>USD,20201026,289960,289990,279750,279860,1,1,1</v>
      </c>
    </row>
    <row r="258" spans="1:12">
      <c r="A258" s="268">
        <v>275470</v>
      </c>
      <c r="B258" s="268">
        <v>274450</v>
      </c>
      <c r="C258" s="268">
        <v>293860</v>
      </c>
      <c r="D258" s="268">
        <v>290000</v>
      </c>
      <c r="E258">
        <v>3750</v>
      </c>
      <c r="F258" s="137">
        <v>1.29E-2</v>
      </c>
      <c r="G258" s="202">
        <v>44128</v>
      </c>
      <c r="H258" t="s">
        <v>6628</v>
      </c>
      <c r="I258" s="40" t="s">
        <v>6427</v>
      </c>
      <c r="L258" s="40" t="str">
        <f t="shared" si="5"/>
        <v>USD,20201024,293820,293860,289950,290000,1,1,1</v>
      </c>
    </row>
    <row r="259" spans="1:12">
      <c r="A259" s="268">
        <v>308990</v>
      </c>
      <c r="B259" s="268">
        <v>275450</v>
      </c>
      <c r="C259" s="268">
        <v>294860</v>
      </c>
      <c r="D259" s="268">
        <v>293750</v>
      </c>
      <c r="E259">
        <v>5730</v>
      </c>
      <c r="F259" s="137">
        <v>1.9900000000000001E-2</v>
      </c>
      <c r="G259" s="202">
        <v>44126</v>
      </c>
      <c r="H259" t="s">
        <v>6629</v>
      </c>
      <c r="I259" s="40" t="s">
        <v>6427</v>
      </c>
      <c r="L259" s="40" t="str">
        <f t="shared" si="5"/>
        <v>USD,20201022,292780,294860,292750,293750,1,1,1</v>
      </c>
    </row>
    <row r="260" spans="1:12">
      <c r="A260" s="268">
        <v>318450</v>
      </c>
      <c r="B260" s="268">
        <v>308950</v>
      </c>
      <c r="C260" s="268">
        <v>290860</v>
      </c>
      <c r="D260" s="268">
        <v>288020</v>
      </c>
      <c r="E260">
        <v>12560</v>
      </c>
      <c r="F260" s="137">
        <v>4.5600000000000002E-2</v>
      </c>
      <c r="G260" s="202">
        <v>44125</v>
      </c>
      <c r="H260" t="s">
        <v>6630</v>
      </c>
      <c r="I260" s="40" t="s">
        <v>6427</v>
      </c>
      <c r="L260" s="40" t="str">
        <f t="shared" si="5"/>
        <v>USD,20201021,275470,290860,274450,288020,1,1,1</v>
      </c>
    </row>
    <row r="261" spans="1:12">
      <c r="A261" s="268">
        <v>317030</v>
      </c>
      <c r="B261" s="268">
        <v>316950</v>
      </c>
      <c r="C261" s="268">
        <v>309060</v>
      </c>
      <c r="D261" s="268">
        <v>275460</v>
      </c>
      <c r="E261">
        <v>33570</v>
      </c>
      <c r="F261" s="137">
        <v>0.12189999999999999</v>
      </c>
      <c r="G261" s="202">
        <v>44124</v>
      </c>
      <c r="H261" t="s">
        <v>6631</v>
      </c>
      <c r="I261" s="40" t="s">
        <v>6427</v>
      </c>
      <c r="L261" s="40" t="str">
        <f t="shared" si="5"/>
        <v>USD,20201020,308990,309060,275450,275460,1,1,1</v>
      </c>
    </row>
    <row r="262" spans="1:12">
      <c r="A262" s="268">
        <v>317000</v>
      </c>
      <c r="B262" s="268">
        <v>316950</v>
      </c>
      <c r="C262" s="268">
        <v>318560</v>
      </c>
      <c r="D262" s="268">
        <v>309030</v>
      </c>
      <c r="E262">
        <v>9530</v>
      </c>
      <c r="F262" s="137">
        <v>3.0800000000000001E-2</v>
      </c>
      <c r="G262" s="202">
        <v>44123</v>
      </c>
      <c r="H262" t="s">
        <v>6632</v>
      </c>
      <c r="I262" s="40" t="s">
        <v>6427</v>
      </c>
      <c r="L262" s="40" t="str">
        <f t="shared" si="5"/>
        <v>USD,20201019,318450,318560,308950,309030,1,1,1</v>
      </c>
    </row>
    <row r="263" spans="1:12">
      <c r="A263" s="268">
        <v>312990</v>
      </c>
      <c r="B263" s="268">
        <v>312950</v>
      </c>
      <c r="C263" s="268">
        <v>320060</v>
      </c>
      <c r="D263" s="268">
        <v>318560</v>
      </c>
      <c r="E263">
        <v>1520</v>
      </c>
      <c r="F263" s="137">
        <v>4.7999999999999996E-3</v>
      </c>
      <c r="G263" s="202">
        <v>44122</v>
      </c>
      <c r="H263" t="s">
        <v>6633</v>
      </c>
      <c r="I263" s="40" t="s">
        <v>6427</v>
      </c>
      <c r="L263" s="40" t="str">
        <f t="shared" si="5"/>
        <v>USD,20201018,317030,320060,316950,318560,1,1,1</v>
      </c>
    </row>
    <row r="264" spans="1:12">
      <c r="A264" s="268">
        <v>304040</v>
      </c>
      <c r="B264" s="268">
        <v>303950</v>
      </c>
      <c r="C264" s="268">
        <v>317060</v>
      </c>
      <c r="D264" s="268">
        <v>317040</v>
      </c>
      <c r="E264">
        <v>2040</v>
      </c>
      <c r="F264" s="137">
        <v>6.4999999999999997E-3</v>
      </c>
      <c r="G264" s="202">
        <v>44119</v>
      </c>
      <c r="H264" t="s">
        <v>6634</v>
      </c>
      <c r="I264" s="40" t="s">
        <v>6427</v>
      </c>
      <c r="L264" s="40" t="str">
        <f t="shared" si="5"/>
        <v>USD,20201015,317000,317060,316950,317040,1,1,1</v>
      </c>
    </row>
    <row r="265" spans="1:12">
      <c r="A265" s="268">
        <v>311520</v>
      </c>
      <c r="B265" s="268">
        <v>301950</v>
      </c>
      <c r="C265" s="268">
        <v>315860</v>
      </c>
      <c r="D265" s="268">
        <v>315000</v>
      </c>
      <c r="E265">
        <v>1980</v>
      </c>
      <c r="F265" s="137">
        <v>6.3E-3</v>
      </c>
      <c r="G265" s="202">
        <v>44118</v>
      </c>
      <c r="H265" t="s">
        <v>6635</v>
      </c>
      <c r="I265" s="40" t="s">
        <v>6427</v>
      </c>
      <c r="L265" s="40" t="str">
        <f t="shared" si="5"/>
        <v>USD,20201014,312990,315860,312950,315000,1,1,1</v>
      </c>
    </row>
    <row r="266" spans="1:12">
      <c r="A266" s="268">
        <v>299480</v>
      </c>
      <c r="B266" s="268">
        <v>299450</v>
      </c>
      <c r="C266" s="268">
        <v>315060</v>
      </c>
      <c r="D266" s="268">
        <v>313020</v>
      </c>
      <c r="E266">
        <v>9060</v>
      </c>
      <c r="F266" s="137">
        <v>2.98E-2</v>
      </c>
      <c r="G266" s="202">
        <v>44117</v>
      </c>
      <c r="H266" t="s">
        <v>6636</v>
      </c>
      <c r="I266" s="40" t="s">
        <v>6427</v>
      </c>
      <c r="L266" s="40" t="str">
        <f t="shared" si="5"/>
        <v>USD,20201013,304040,315060,303950,313020,1,1,1</v>
      </c>
    </row>
    <row r="267" spans="1:12">
      <c r="A267" s="268">
        <v>291970</v>
      </c>
      <c r="B267" s="268">
        <v>291950</v>
      </c>
      <c r="C267" s="268">
        <v>311560</v>
      </c>
      <c r="D267" s="268">
        <v>303960</v>
      </c>
      <c r="E267">
        <v>7490</v>
      </c>
      <c r="F267" s="137">
        <v>2.46E-2</v>
      </c>
      <c r="G267" s="202">
        <v>44116</v>
      </c>
      <c r="H267" t="s">
        <v>6637</v>
      </c>
      <c r="I267" s="40" t="s">
        <v>6427</v>
      </c>
      <c r="L267" s="40" t="str">
        <f t="shared" si="5"/>
        <v>USD,20201012,311520,311560,301950,303960,1,1,1</v>
      </c>
    </row>
    <row r="268" spans="1:12">
      <c r="A268" s="268">
        <v>291990</v>
      </c>
      <c r="B268" s="268">
        <v>291950</v>
      </c>
      <c r="C268" s="268">
        <v>311560</v>
      </c>
      <c r="D268" s="268">
        <v>311450</v>
      </c>
      <c r="E268">
        <v>11890</v>
      </c>
      <c r="F268" s="137">
        <v>3.9699999999999999E-2</v>
      </c>
      <c r="G268" s="202">
        <v>44115</v>
      </c>
      <c r="H268" t="s">
        <v>6638</v>
      </c>
      <c r="I268" s="40" t="s">
        <v>6427</v>
      </c>
      <c r="L268" s="40" t="str">
        <f t="shared" si="5"/>
        <v>USD,20201011,299480,311560,299450,311450,1,1,1</v>
      </c>
    </row>
    <row r="269" spans="1:12">
      <c r="A269" s="268">
        <v>281970</v>
      </c>
      <c r="B269" s="268">
        <v>281950</v>
      </c>
      <c r="C269" s="268">
        <v>299560</v>
      </c>
      <c r="D269" s="268">
        <v>299560</v>
      </c>
      <c r="E269">
        <v>7540</v>
      </c>
      <c r="F269" s="137">
        <v>2.58E-2</v>
      </c>
      <c r="G269" s="202">
        <v>44114</v>
      </c>
      <c r="H269" t="s">
        <v>6639</v>
      </c>
      <c r="I269" s="40" t="s">
        <v>6427</v>
      </c>
      <c r="L269" s="40" t="str">
        <f t="shared" si="5"/>
        <v>USD,20201010,291970,299560,291950,299560,1,1,1</v>
      </c>
    </row>
    <row r="270" spans="1:12">
      <c r="A270" s="268">
        <v>269960</v>
      </c>
      <c r="B270" s="268">
        <v>269450</v>
      </c>
      <c r="C270" s="268">
        <v>292060</v>
      </c>
      <c r="D270" s="268">
        <v>292020</v>
      </c>
      <c r="E270">
        <v>20</v>
      </c>
      <c r="F270" s="137">
        <v>1E-4</v>
      </c>
      <c r="G270" s="202">
        <v>44111</v>
      </c>
      <c r="H270" t="s">
        <v>6640</v>
      </c>
      <c r="I270" s="40" t="s">
        <v>6427</v>
      </c>
      <c r="L270" s="40" t="str">
        <f t="shared" si="5"/>
        <v>USD,20201007,291990,292060,291950,292020,1,1,1</v>
      </c>
    </row>
    <row r="271" spans="1:12">
      <c r="A271" s="268">
        <v>284550</v>
      </c>
      <c r="B271" s="268">
        <v>269950</v>
      </c>
      <c r="C271" s="268">
        <v>292060</v>
      </c>
      <c r="D271" s="268">
        <v>292000</v>
      </c>
      <c r="E271">
        <v>10010</v>
      </c>
      <c r="F271" s="137">
        <v>3.5499999999999997E-2</v>
      </c>
      <c r="G271" s="202">
        <v>44110</v>
      </c>
      <c r="H271" t="s">
        <v>6641</v>
      </c>
      <c r="I271" s="40" t="s">
        <v>6427</v>
      </c>
      <c r="L271" s="40" t="str">
        <f t="shared" si="5"/>
        <v>USD,20201006,281970,292060,281950,292000,1,1,1</v>
      </c>
    </row>
    <row r="272" spans="1:12">
      <c r="A272" s="268">
        <v>289030</v>
      </c>
      <c r="B272" s="268">
        <v>284450</v>
      </c>
      <c r="C272" s="268">
        <v>282060</v>
      </c>
      <c r="D272" s="268">
        <v>281990</v>
      </c>
      <c r="E272">
        <v>12040</v>
      </c>
      <c r="F272" s="137">
        <v>4.4600000000000001E-2</v>
      </c>
      <c r="G272" s="202">
        <v>44109</v>
      </c>
      <c r="H272" t="s">
        <v>6642</v>
      </c>
      <c r="I272" s="40" t="s">
        <v>6427</v>
      </c>
      <c r="L272" s="40" t="str">
        <f t="shared" si="5"/>
        <v>USD,20201005,269960,282060,269450,281990,1,1,1</v>
      </c>
    </row>
    <row r="273" spans="1:12">
      <c r="A273" s="268">
        <v>287990</v>
      </c>
      <c r="B273" s="268">
        <v>287990</v>
      </c>
      <c r="C273" s="268">
        <v>284560</v>
      </c>
      <c r="D273" s="268">
        <v>269950</v>
      </c>
      <c r="E273">
        <v>14540</v>
      </c>
      <c r="F273" s="137">
        <v>5.3900000000000003E-2</v>
      </c>
      <c r="G273" s="202">
        <v>44108</v>
      </c>
      <c r="H273" t="s">
        <v>6643</v>
      </c>
      <c r="I273" s="40" t="s">
        <v>6427</v>
      </c>
      <c r="L273" s="40" t="str">
        <f t="shared" si="5"/>
        <v>USD,20201004,284550,284560,269950,269950,1,1,1</v>
      </c>
    </row>
    <row r="274" spans="1:12">
      <c r="A274" s="268">
        <v>285040</v>
      </c>
      <c r="B274" s="268">
        <v>284950</v>
      </c>
      <c r="C274" s="268">
        <v>289060</v>
      </c>
      <c r="D274" s="268">
        <v>284490</v>
      </c>
      <c r="E274">
        <v>4550</v>
      </c>
      <c r="F274" s="137">
        <v>1.6E-2</v>
      </c>
      <c r="G274" s="202">
        <v>44107</v>
      </c>
      <c r="H274" t="s">
        <v>6644</v>
      </c>
      <c r="I274" s="40" t="s">
        <v>6427</v>
      </c>
      <c r="L274" s="40" t="str">
        <f t="shared" si="5"/>
        <v>USD,20201003,289030,289060,284450,284490,1,1,1</v>
      </c>
    </row>
    <row r="275" spans="1:12">
      <c r="A275" s="268">
        <v>289450</v>
      </c>
      <c r="B275" s="268">
        <v>284950</v>
      </c>
      <c r="C275" s="268">
        <v>289060</v>
      </c>
      <c r="D275" s="268">
        <v>289040</v>
      </c>
      <c r="E275">
        <v>1520</v>
      </c>
      <c r="F275" s="137">
        <v>5.3E-3</v>
      </c>
      <c r="G275" s="202">
        <v>44105</v>
      </c>
      <c r="H275" t="s">
        <v>6646</v>
      </c>
      <c r="I275" s="40" t="s">
        <v>6427</v>
      </c>
      <c r="L275" s="40" t="str">
        <f t="shared" si="5"/>
        <v>USD,20201001,287990,289060,287990,289040,1,1,1</v>
      </c>
    </row>
    <row r="276" spans="1:12">
      <c r="A276" s="268">
        <v>287060</v>
      </c>
      <c r="B276" s="268">
        <v>286950</v>
      </c>
      <c r="C276" s="268">
        <v>287560</v>
      </c>
      <c r="D276" s="268">
        <v>287520</v>
      </c>
      <c r="E276">
        <v>2500</v>
      </c>
      <c r="F276" s="137">
        <v>8.8000000000000005E-3</v>
      </c>
      <c r="G276" s="202">
        <v>44104</v>
      </c>
      <c r="H276" t="s">
        <v>6647</v>
      </c>
      <c r="I276" s="40" t="s">
        <v>6427</v>
      </c>
      <c r="L276" s="40" t="str">
        <f t="shared" si="5"/>
        <v>USD,20200930,285040,287560,284950,287520,1,1,1</v>
      </c>
    </row>
    <row r="277" spans="1:12">
      <c r="A277" s="268">
        <v>285020</v>
      </c>
      <c r="B277" s="268">
        <v>284950</v>
      </c>
      <c r="C277" s="268">
        <v>289560</v>
      </c>
      <c r="D277" s="268">
        <v>285020</v>
      </c>
      <c r="E277">
        <v>4450</v>
      </c>
      <c r="F277" s="137">
        <v>1.5599999999999999E-2</v>
      </c>
      <c r="G277" s="202">
        <v>44103</v>
      </c>
      <c r="H277" t="s">
        <v>6648</v>
      </c>
      <c r="I277" s="40" t="s">
        <v>6427</v>
      </c>
      <c r="L277" s="40" t="str">
        <f t="shared" si="5"/>
        <v>USD,20200929,289450,289560,284950,285020,1,1,1</v>
      </c>
    </row>
    <row r="278" spans="1:12">
      <c r="A278" s="268">
        <v>278030</v>
      </c>
      <c r="B278" s="268">
        <v>277950</v>
      </c>
      <c r="C278" s="268">
        <v>289560</v>
      </c>
      <c r="D278" s="268">
        <v>289470</v>
      </c>
      <c r="E278">
        <v>2470</v>
      </c>
      <c r="F278" s="137">
        <v>8.6E-3</v>
      </c>
      <c r="G278" s="202">
        <v>44102</v>
      </c>
      <c r="H278" t="s">
        <v>6649</v>
      </c>
      <c r="I278" s="40" t="s">
        <v>6427</v>
      </c>
      <c r="L278" s="40" t="str">
        <f t="shared" si="5"/>
        <v>USD,20200928,287060,289560,286950,289470,1,1,1</v>
      </c>
    </row>
    <row r="279" spans="1:12">
      <c r="A279" s="268">
        <v>278000</v>
      </c>
      <c r="B279" s="268">
        <v>277950</v>
      </c>
      <c r="C279" s="268">
        <v>287060</v>
      </c>
      <c r="D279" s="268">
        <v>287000</v>
      </c>
      <c r="E279">
        <v>1940</v>
      </c>
      <c r="F279" s="137">
        <v>6.7999999999999996E-3</v>
      </c>
      <c r="G279" s="202">
        <v>44101</v>
      </c>
      <c r="H279" t="s">
        <v>6650</v>
      </c>
      <c r="I279" s="40" t="s">
        <v>6427</v>
      </c>
      <c r="L279" s="40" t="str">
        <f t="shared" si="5"/>
        <v>USD,20200927,285020,287060,284950,287000,1,1,1</v>
      </c>
    </row>
    <row r="280" spans="1:12">
      <c r="A280" s="268">
        <v>271990</v>
      </c>
      <c r="B280" s="268">
        <v>271950</v>
      </c>
      <c r="C280" s="268">
        <v>287560</v>
      </c>
      <c r="D280" s="268">
        <v>285060</v>
      </c>
      <c r="E280">
        <v>7090</v>
      </c>
      <c r="F280" s="137">
        <v>2.5499999999999998E-2</v>
      </c>
      <c r="G280" s="202">
        <v>44100</v>
      </c>
      <c r="H280" t="s">
        <v>6651</v>
      </c>
      <c r="I280" s="40" t="s">
        <v>6427</v>
      </c>
      <c r="L280" s="40" t="str">
        <f t="shared" si="5"/>
        <v>USD,20200926,278030,287560,277950,285060,1,1,1</v>
      </c>
    </row>
    <row r="281" spans="1:12">
      <c r="A281" s="268">
        <v>269480</v>
      </c>
      <c r="B281" s="268">
        <v>269450</v>
      </c>
      <c r="C281" s="268">
        <v>278060</v>
      </c>
      <c r="D281" s="268">
        <v>277970</v>
      </c>
      <c r="E281">
        <v>10</v>
      </c>
      <c r="F281" t="s">
        <v>6426</v>
      </c>
      <c r="G281" s="202">
        <v>44098</v>
      </c>
      <c r="H281" t="s">
        <v>6652</v>
      </c>
      <c r="I281" s="40" t="s">
        <v>6427</v>
      </c>
      <c r="L281" s="40" t="str">
        <f t="shared" si="5"/>
        <v>USD,20200924,278000,278060,277950,277970,1,1,1</v>
      </c>
    </row>
    <row r="282" spans="1:12">
      <c r="A282" s="268">
        <v>273060</v>
      </c>
      <c r="B282" s="268">
        <v>268450</v>
      </c>
      <c r="C282" s="268">
        <v>278060</v>
      </c>
      <c r="D282" s="268">
        <v>277980</v>
      </c>
      <c r="E282">
        <v>5950</v>
      </c>
      <c r="F282" s="137">
        <v>2.1899999999999999E-2</v>
      </c>
      <c r="G282" s="202">
        <v>44097</v>
      </c>
      <c r="H282" t="s">
        <v>6653</v>
      </c>
      <c r="I282" s="40" t="s">
        <v>6427</v>
      </c>
      <c r="L282" s="40" t="str">
        <f t="shared" si="5"/>
        <v>USD,20200923,271990,278060,271950,277980,1,1,1</v>
      </c>
    </row>
    <row r="283" spans="1:12">
      <c r="A283" s="268">
        <v>264500</v>
      </c>
      <c r="B283" s="268">
        <v>264450</v>
      </c>
      <c r="C283" s="268">
        <v>272060</v>
      </c>
      <c r="D283" s="268">
        <v>272030</v>
      </c>
      <c r="E283">
        <v>2580</v>
      </c>
      <c r="F283" s="137">
        <v>9.5999999999999992E-3</v>
      </c>
      <c r="G283" s="202">
        <v>44096</v>
      </c>
      <c r="H283" t="s">
        <v>6645</v>
      </c>
      <c r="I283" s="40" t="s">
        <v>6427</v>
      </c>
      <c r="L283" s="40" t="str">
        <f t="shared" si="5"/>
        <v>USD,20200922,269480,272060,269450,272030,1,1,1</v>
      </c>
    </row>
    <row r="284" spans="1:12">
      <c r="A284" s="268">
        <v>267990</v>
      </c>
      <c r="B284" s="268">
        <v>264450</v>
      </c>
      <c r="C284" s="268">
        <v>273060</v>
      </c>
      <c r="D284" s="268">
        <v>269450</v>
      </c>
      <c r="E284">
        <v>3530</v>
      </c>
      <c r="F284" s="137">
        <v>1.3100000000000001E-2</v>
      </c>
      <c r="G284" s="202">
        <v>44095</v>
      </c>
      <c r="H284" t="s">
        <v>6654</v>
      </c>
      <c r="I284" s="40" t="s">
        <v>6427</v>
      </c>
      <c r="L284" s="40" t="str">
        <f t="shared" si="5"/>
        <v>USD,20200921,273060,273060,268450,269450,1,1,1</v>
      </c>
    </row>
    <row r="285" spans="1:12">
      <c r="A285" s="268">
        <v>266020</v>
      </c>
      <c r="B285" s="268">
        <v>265950</v>
      </c>
      <c r="C285" s="268">
        <v>273060</v>
      </c>
      <c r="D285" s="268">
        <v>272980</v>
      </c>
      <c r="E285">
        <v>8500</v>
      </c>
      <c r="F285" s="137">
        <v>3.2099999999999997E-2</v>
      </c>
      <c r="G285" s="202">
        <v>44094</v>
      </c>
      <c r="H285" t="s">
        <v>6655</v>
      </c>
      <c r="I285" s="40" t="s">
        <v>6427</v>
      </c>
      <c r="L285" s="40" t="str">
        <f t="shared" si="5"/>
        <v>USD,20200920,264500,273060,264450,272980,1,1,1</v>
      </c>
    </row>
    <row r="286" spans="1:12">
      <c r="A286" s="268">
        <v>265980</v>
      </c>
      <c r="B286" s="268">
        <v>265950</v>
      </c>
      <c r="C286" s="268">
        <v>268060</v>
      </c>
      <c r="D286" s="268">
        <v>264480</v>
      </c>
      <c r="E286">
        <v>3490</v>
      </c>
      <c r="F286" s="137">
        <v>1.32E-2</v>
      </c>
      <c r="G286" s="202">
        <v>44093</v>
      </c>
      <c r="H286" t="s">
        <v>6656</v>
      </c>
      <c r="I286" s="40" t="s">
        <v>6427</v>
      </c>
      <c r="L286" s="40" t="str">
        <f t="shared" si="5"/>
        <v>USD,20200919,267990,268060,264450,264480,1,1,1</v>
      </c>
    </row>
    <row r="287" spans="1:12">
      <c r="A287" s="268">
        <v>235850</v>
      </c>
      <c r="B287" s="268">
        <v>235810</v>
      </c>
      <c r="C287" s="268">
        <v>268560</v>
      </c>
      <c r="D287" s="268">
        <v>267970</v>
      </c>
      <c r="E287">
        <v>1990</v>
      </c>
      <c r="F287" s="137">
        <v>7.4999999999999997E-3</v>
      </c>
      <c r="G287" s="202">
        <v>44091</v>
      </c>
      <c r="H287" t="s">
        <v>6657</v>
      </c>
      <c r="I287" s="40" t="s">
        <v>6427</v>
      </c>
      <c r="L287" s="40" t="str">
        <f t="shared" si="5"/>
        <v>USD,20200917,266020,268560,265950,267970,1,1,1</v>
      </c>
    </row>
    <row r="288" spans="1:12">
      <c r="A288" s="268">
        <v>234370</v>
      </c>
      <c r="B288" s="268">
        <v>234310</v>
      </c>
      <c r="C288" s="268">
        <v>266060</v>
      </c>
      <c r="D288" s="268">
        <v>265980</v>
      </c>
      <c r="E288">
        <v>40</v>
      </c>
      <c r="F288" s="137">
        <v>2.0000000000000001E-4</v>
      </c>
      <c r="G288" s="202">
        <v>44090</v>
      </c>
      <c r="H288" t="s">
        <v>6658</v>
      </c>
      <c r="I288" s="40" t="s">
        <v>6427</v>
      </c>
      <c r="L288" s="40" t="str">
        <f t="shared" si="5"/>
        <v>USD,20200916,265980,266060,265950,265980,1,1,1</v>
      </c>
    </row>
    <row r="289" spans="1:12">
      <c r="A289" s="268">
        <v>231620</v>
      </c>
      <c r="B289" s="268">
        <v>231510</v>
      </c>
      <c r="C289" s="268">
        <v>266060</v>
      </c>
      <c r="D289" s="268">
        <v>266020</v>
      </c>
      <c r="E289">
        <v>30100</v>
      </c>
      <c r="F289" s="137">
        <v>0.12759999999999999</v>
      </c>
      <c r="G289" s="202">
        <v>44089</v>
      </c>
      <c r="H289" t="s">
        <v>6659</v>
      </c>
      <c r="I289" s="40" t="s">
        <v>6427</v>
      </c>
      <c r="L289" s="40" t="str">
        <f t="shared" si="5"/>
        <v>USD,20200915,235850,266060,235810,266020,1,1,1</v>
      </c>
    </row>
    <row r="290" spans="1:12">
      <c r="A290" s="268">
        <v>228020</v>
      </c>
      <c r="B290" s="268">
        <v>227910</v>
      </c>
      <c r="C290" s="268">
        <v>235920</v>
      </c>
      <c r="D290" s="268">
        <v>235920</v>
      </c>
      <c r="E290">
        <v>1530</v>
      </c>
      <c r="F290" s="137">
        <v>6.4999999999999997E-3</v>
      </c>
      <c r="G290" s="202">
        <v>44088</v>
      </c>
      <c r="H290" t="s">
        <v>6327</v>
      </c>
      <c r="I290" s="40" t="s">
        <v>6427</v>
      </c>
      <c r="L290" s="40" t="str">
        <f t="shared" si="5"/>
        <v>USD,20200914,234370,235920,234310,235920,1,1,1</v>
      </c>
    </row>
    <row r="291" spans="1:12">
      <c r="A291" s="268">
        <v>227910</v>
      </c>
      <c r="B291" s="268">
        <v>227910</v>
      </c>
      <c r="C291" s="268">
        <v>234420</v>
      </c>
      <c r="D291" s="268">
        <v>234390</v>
      </c>
      <c r="E291">
        <v>2820</v>
      </c>
      <c r="F291" s="137">
        <v>1.2200000000000001E-2</v>
      </c>
      <c r="G291" s="202">
        <v>44087</v>
      </c>
      <c r="H291" t="s">
        <v>6660</v>
      </c>
      <c r="I291" s="40" t="s">
        <v>6427</v>
      </c>
      <c r="L291" s="40" t="str">
        <f t="shared" si="5"/>
        <v>USD,20200913,231620,234420,231510,234390,1,1,1</v>
      </c>
    </row>
    <row r="292" spans="1:12">
      <c r="A292" s="268">
        <v>227460</v>
      </c>
      <c r="B292" s="268">
        <v>227410</v>
      </c>
      <c r="C292" s="268">
        <v>231620</v>
      </c>
      <c r="D292" s="268">
        <v>231570</v>
      </c>
      <c r="E292">
        <v>3570</v>
      </c>
      <c r="F292" s="137">
        <v>1.5699999999999999E-2</v>
      </c>
      <c r="G292" s="202">
        <v>44086</v>
      </c>
      <c r="H292" t="s">
        <v>6661</v>
      </c>
      <c r="I292" s="40" t="s">
        <v>6427</v>
      </c>
      <c r="L292" s="40" t="str">
        <f t="shared" si="5"/>
        <v>USD,20200912,228020,231620,227910,231570,1,1,1</v>
      </c>
    </row>
    <row r="293" spans="1:12">
      <c r="A293" s="268">
        <v>225920</v>
      </c>
      <c r="B293" s="268">
        <v>225910</v>
      </c>
      <c r="C293" s="268">
        <v>228020</v>
      </c>
      <c r="D293" s="268">
        <v>228000</v>
      </c>
      <c r="E293">
        <v>510</v>
      </c>
      <c r="F293" s="137">
        <v>2.2000000000000001E-3</v>
      </c>
      <c r="G293" s="202">
        <v>44084</v>
      </c>
      <c r="H293" t="s">
        <v>6662</v>
      </c>
      <c r="I293" s="40" t="s">
        <v>6427</v>
      </c>
      <c r="L293" s="40" t="str">
        <f t="shared" si="5"/>
        <v>USD,20200910,227910,228020,227910,228000,1,1,1</v>
      </c>
    </row>
    <row r="294" spans="1:12">
      <c r="A294" s="268">
        <v>225950</v>
      </c>
      <c r="B294" s="268">
        <v>225910</v>
      </c>
      <c r="C294" s="268">
        <v>227520</v>
      </c>
      <c r="D294" s="268">
        <v>227490</v>
      </c>
      <c r="E294">
        <v>30</v>
      </c>
      <c r="F294" s="137">
        <v>1E-4</v>
      </c>
      <c r="G294" s="202">
        <v>44083</v>
      </c>
      <c r="H294" t="s">
        <v>6663</v>
      </c>
      <c r="I294" s="40" t="s">
        <v>6427</v>
      </c>
      <c r="L294" s="40" t="str">
        <f t="shared" si="5"/>
        <v>USD,20200909,227460,227520,227410,227490,1,1,1</v>
      </c>
    </row>
    <row r="295" spans="1:12">
      <c r="A295" s="268">
        <v>224450</v>
      </c>
      <c r="B295" s="268">
        <v>224410</v>
      </c>
      <c r="C295" s="268">
        <v>227520</v>
      </c>
      <c r="D295" s="268">
        <v>227520</v>
      </c>
      <c r="E295">
        <v>1550</v>
      </c>
      <c r="F295" s="137">
        <v>6.8999999999999999E-3</v>
      </c>
      <c r="G295" s="202">
        <v>44082</v>
      </c>
      <c r="H295" t="s">
        <v>6664</v>
      </c>
      <c r="I295" s="40" t="s">
        <v>6427</v>
      </c>
      <c r="L295" s="40" t="str">
        <f t="shared" si="5"/>
        <v>USD,20200908,225920,227520,225910,227520,1,1,1</v>
      </c>
    </row>
    <row r="296" spans="1:12">
      <c r="A296" s="268">
        <v>224450</v>
      </c>
      <c r="B296" s="268">
        <v>224410</v>
      </c>
      <c r="C296" s="268">
        <v>226020</v>
      </c>
      <c r="D296" s="268">
        <v>225970</v>
      </c>
      <c r="E296">
        <v>50</v>
      </c>
      <c r="F296" s="137">
        <v>2.0000000000000001E-4</v>
      </c>
      <c r="G296" s="202">
        <v>44081</v>
      </c>
      <c r="H296" t="s">
        <v>6665</v>
      </c>
      <c r="I296" s="40" t="s">
        <v>6427</v>
      </c>
      <c r="L296" s="40" t="str">
        <f t="shared" si="5"/>
        <v>USD,20200907,225950,226020,225910,225970,1,1,1</v>
      </c>
    </row>
    <row r="297" spans="1:12">
      <c r="A297" s="268">
        <v>225020</v>
      </c>
      <c r="B297" s="268">
        <v>224410</v>
      </c>
      <c r="C297" s="268">
        <v>226020</v>
      </c>
      <c r="D297" s="268">
        <v>226020</v>
      </c>
      <c r="E297">
        <v>1500</v>
      </c>
      <c r="F297" s="137">
        <v>6.7000000000000002E-3</v>
      </c>
      <c r="G297" s="202">
        <v>44080</v>
      </c>
      <c r="H297" t="s">
        <v>6666</v>
      </c>
      <c r="I297" s="40" t="s">
        <v>6427</v>
      </c>
      <c r="L297" s="40" t="str">
        <f t="shared" si="5"/>
        <v>USD,20200906,224450,226020,224410,226020,1,1,1</v>
      </c>
    </row>
    <row r="298" spans="1:12">
      <c r="A298" s="268">
        <v>229020</v>
      </c>
      <c r="B298" s="268">
        <v>226910</v>
      </c>
      <c r="C298" s="268">
        <v>224520</v>
      </c>
      <c r="D298" s="268">
        <v>224520</v>
      </c>
      <c r="E298" t="s">
        <v>6426</v>
      </c>
      <c r="F298" t="s">
        <v>6426</v>
      </c>
      <c r="G298" s="202">
        <v>44079</v>
      </c>
      <c r="H298" t="s">
        <v>6667</v>
      </c>
      <c r="I298" s="40" t="s">
        <v>6427</v>
      </c>
      <c r="L298" s="40" t="str">
        <f t="shared" si="5"/>
        <v>USD,20200905,224450,224520,224410,224520,1,1,1</v>
      </c>
    </row>
    <row r="299" spans="1:12">
      <c r="A299" s="268">
        <v>231430</v>
      </c>
      <c r="B299" s="268">
        <v>228910</v>
      </c>
      <c r="C299" s="268">
        <v>225020</v>
      </c>
      <c r="D299" s="268">
        <v>224520</v>
      </c>
      <c r="E299">
        <v>2440</v>
      </c>
      <c r="F299" s="137">
        <v>1.09E-2</v>
      </c>
      <c r="G299" s="202">
        <v>44077</v>
      </c>
      <c r="H299" t="s">
        <v>6668</v>
      </c>
      <c r="I299" s="40" t="s">
        <v>6427</v>
      </c>
      <c r="L299" s="40" t="str">
        <f t="shared" si="5"/>
        <v>USD,20200903,225020,225020,224410,224520,1,1,1</v>
      </c>
    </row>
    <row r="300" spans="1:12">
      <c r="A300" s="268">
        <v>231020</v>
      </c>
      <c r="B300" s="268">
        <v>230410</v>
      </c>
      <c r="C300" s="268">
        <v>229020</v>
      </c>
      <c r="D300" s="268">
        <v>226960</v>
      </c>
      <c r="E300">
        <v>2040</v>
      </c>
      <c r="F300" s="137">
        <v>8.9999999999999993E-3</v>
      </c>
      <c r="G300" s="202">
        <v>44076</v>
      </c>
      <c r="H300" t="s">
        <v>6669</v>
      </c>
      <c r="I300" s="40" t="s">
        <v>6427</v>
      </c>
      <c r="L300" s="40" t="str">
        <f t="shared" si="5"/>
        <v>USD,20200902,229020,229020,226910,226960,1,1,1</v>
      </c>
    </row>
    <row r="301" spans="1:12">
      <c r="A301" s="268">
        <v>230980</v>
      </c>
      <c r="B301" s="268">
        <v>230910</v>
      </c>
      <c r="C301" s="268">
        <v>234020</v>
      </c>
      <c r="D301" s="268">
        <v>229000</v>
      </c>
      <c r="E301">
        <v>2520</v>
      </c>
      <c r="F301" s="137">
        <v>1.0999999999999999E-2</v>
      </c>
      <c r="G301" s="202">
        <v>44075</v>
      </c>
      <c r="H301" t="s">
        <v>6670</v>
      </c>
      <c r="I301" s="40" t="s">
        <v>6427</v>
      </c>
      <c r="L301" s="40" t="str">
        <f t="shared" si="5"/>
        <v>USD,20200901,231430,234020,228910,229000,1,1,1</v>
      </c>
    </row>
    <row r="302" spans="1:12">
      <c r="A302" s="268">
        <v>231020</v>
      </c>
      <c r="B302" s="268">
        <v>230910</v>
      </c>
      <c r="C302" s="268">
        <v>231520</v>
      </c>
      <c r="D302" s="268">
        <v>231520</v>
      </c>
      <c r="E302">
        <v>590</v>
      </c>
      <c r="F302" s="137">
        <v>2.5999999999999999E-3</v>
      </c>
      <c r="G302" s="202">
        <v>44074</v>
      </c>
      <c r="H302" t="s">
        <v>6671</v>
      </c>
      <c r="I302" s="40" t="s">
        <v>6427</v>
      </c>
      <c r="L302" s="40" t="str">
        <f t="shared" si="5"/>
        <v>USD,20200831,231020,231520,230410,231520,1,1,1</v>
      </c>
    </row>
    <row r="303" spans="1:12">
      <c r="A303" s="268">
        <v>224710</v>
      </c>
      <c r="B303" s="268">
        <v>224710</v>
      </c>
      <c r="C303" s="268">
        <v>231020</v>
      </c>
      <c r="D303" s="268">
        <v>230930</v>
      </c>
      <c r="E303">
        <v>90</v>
      </c>
      <c r="F303" s="137">
        <v>4.0000000000000002E-4</v>
      </c>
      <c r="G303" s="202">
        <v>44073</v>
      </c>
      <c r="H303" t="s">
        <v>6672</v>
      </c>
      <c r="I303" s="40" t="s">
        <v>6427</v>
      </c>
      <c r="L303" s="40" t="str">
        <f t="shared" si="5"/>
        <v>USD,20200830,230980,231020,230910,230930,1,1,1</v>
      </c>
    </row>
    <row r="304" spans="1:12">
      <c r="A304" s="268">
        <v>224790</v>
      </c>
      <c r="B304" s="268">
        <v>224710</v>
      </c>
      <c r="C304" s="268">
        <v>231020</v>
      </c>
      <c r="D304" s="268">
        <v>231020</v>
      </c>
      <c r="E304">
        <v>1060</v>
      </c>
      <c r="F304" s="137">
        <v>4.5999999999999999E-3</v>
      </c>
      <c r="G304" s="202">
        <v>44070</v>
      </c>
      <c r="H304" t="s">
        <v>6673</v>
      </c>
      <c r="I304" s="40" t="s">
        <v>6427</v>
      </c>
      <c r="L304" s="40" t="str">
        <f t="shared" si="5"/>
        <v>USD,20200827,231020,231020,230910,231020,1,1,1</v>
      </c>
    </row>
    <row r="305" spans="1:12">
      <c r="A305" s="268">
        <v>225020</v>
      </c>
      <c r="B305" s="268">
        <v>224710</v>
      </c>
      <c r="C305" s="268">
        <v>230020</v>
      </c>
      <c r="D305" s="268">
        <v>229960</v>
      </c>
      <c r="E305">
        <v>5170</v>
      </c>
      <c r="F305" s="137">
        <v>2.3E-2</v>
      </c>
      <c r="G305" s="202">
        <v>44069</v>
      </c>
      <c r="H305" t="s">
        <v>6674</v>
      </c>
      <c r="I305" s="40" t="s">
        <v>6427</v>
      </c>
      <c r="L305" s="40" t="str">
        <f t="shared" si="5"/>
        <v>USD,20200826,224710,230020,224710,229960,1,1,1</v>
      </c>
    </row>
    <row r="306" spans="1:12">
      <c r="A306" s="268">
        <v>224940</v>
      </c>
      <c r="B306" s="268">
        <v>224910</v>
      </c>
      <c r="C306" s="268">
        <v>224820</v>
      </c>
      <c r="D306" s="268">
        <v>224790</v>
      </c>
      <c r="E306">
        <v>30</v>
      </c>
      <c r="F306" s="137">
        <v>1E-4</v>
      </c>
      <c r="G306" s="202">
        <v>44068</v>
      </c>
      <c r="H306" t="s">
        <v>6675</v>
      </c>
      <c r="I306" s="40" t="s">
        <v>6427</v>
      </c>
      <c r="L306" s="40" t="str">
        <f t="shared" si="5"/>
        <v>USD,20200825,224790,224820,224710,224790,1,1,1</v>
      </c>
    </row>
    <row r="307" spans="1:12">
      <c r="A307" s="268">
        <v>224970</v>
      </c>
      <c r="B307" s="268">
        <v>224910</v>
      </c>
      <c r="C307" s="268">
        <v>225020</v>
      </c>
      <c r="D307" s="268">
        <v>224820</v>
      </c>
      <c r="E307">
        <v>150</v>
      </c>
      <c r="F307" s="137">
        <v>6.9999999999999999E-4</v>
      </c>
      <c r="G307" s="202">
        <v>44067</v>
      </c>
      <c r="H307" t="s">
        <v>6676</v>
      </c>
      <c r="I307" s="40" t="s">
        <v>6427</v>
      </c>
      <c r="L307" s="40" t="str">
        <f t="shared" si="5"/>
        <v>USD,20200824,225020,225020,224710,224820,1,1,1</v>
      </c>
    </row>
    <row r="308" spans="1:12">
      <c r="A308" s="268">
        <v>223950</v>
      </c>
      <c r="B308" s="268">
        <v>223910</v>
      </c>
      <c r="C308" s="268">
        <v>225020</v>
      </c>
      <c r="D308" s="268">
        <v>224970</v>
      </c>
      <c r="E308">
        <v>50</v>
      </c>
      <c r="F308" s="137">
        <v>2.0000000000000001E-4</v>
      </c>
      <c r="G308" s="202">
        <v>44066</v>
      </c>
      <c r="H308" t="s">
        <v>6677</v>
      </c>
      <c r="I308" s="40" t="s">
        <v>6427</v>
      </c>
      <c r="L308" s="40" t="str">
        <f t="shared" si="5"/>
        <v>USD,20200823,224940,225020,224910,224970,1,1,1</v>
      </c>
    </row>
    <row r="309" spans="1:12">
      <c r="A309" s="268">
        <v>224960</v>
      </c>
      <c r="B309" s="268">
        <v>223910</v>
      </c>
      <c r="C309" s="268">
        <v>225020</v>
      </c>
      <c r="D309" s="268">
        <v>225020</v>
      </c>
      <c r="E309" t="s">
        <v>6426</v>
      </c>
      <c r="F309" t="s">
        <v>6426</v>
      </c>
      <c r="G309" s="202">
        <v>44065</v>
      </c>
      <c r="H309" t="s">
        <v>6678</v>
      </c>
      <c r="I309" s="40" t="s">
        <v>6427</v>
      </c>
      <c r="L309" s="40" t="str">
        <f t="shared" si="5"/>
        <v>USD,20200822,224970,225020,224910,225020,1,1,1</v>
      </c>
    </row>
    <row r="310" spans="1:12">
      <c r="A310" s="268">
        <v>224420</v>
      </c>
      <c r="B310" s="268">
        <v>224410</v>
      </c>
      <c r="C310" s="268">
        <v>225020</v>
      </c>
      <c r="D310" s="268">
        <v>225020</v>
      </c>
      <c r="E310">
        <v>1090</v>
      </c>
      <c r="F310" s="137">
        <v>4.8999999999999998E-3</v>
      </c>
      <c r="G310" s="202">
        <v>44063</v>
      </c>
      <c r="H310" t="s">
        <v>6679</v>
      </c>
      <c r="I310" s="40" t="s">
        <v>6427</v>
      </c>
      <c r="L310" s="40" t="str">
        <f t="shared" si="5"/>
        <v>USD,20200820,223950,225020,223910,225020,1,1,1</v>
      </c>
    </row>
    <row r="311" spans="1:12">
      <c r="A311" s="268">
        <v>218970</v>
      </c>
      <c r="B311" s="268">
        <v>218910</v>
      </c>
      <c r="C311" s="268">
        <v>225020</v>
      </c>
      <c r="D311" s="268">
        <v>223930</v>
      </c>
      <c r="E311">
        <v>1090</v>
      </c>
      <c r="F311" s="137">
        <v>4.8999999999999998E-3</v>
      </c>
      <c r="G311" s="202">
        <v>44062</v>
      </c>
      <c r="H311" t="s">
        <v>6680</v>
      </c>
      <c r="I311" s="40" t="s">
        <v>6427</v>
      </c>
      <c r="L311" s="40" t="str">
        <f t="shared" ref="L311:L338" si="6">CONCATENATE("USD",I311,TEXT(G311,"yyyymmdd"),I311,A309,I311,C311,I311,B309,I311,D311,I311,"1,1,1")</f>
        <v>USD,20200819,224960,225020,223910,223930,1,1,1</v>
      </c>
    </row>
    <row r="312" spans="1:12">
      <c r="A312" s="268">
        <v>218970</v>
      </c>
      <c r="B312" s="268">
        <v>218910</v>
      </c>
      <c r="C312" s="268">
        <v>225520</v>
      </c>
      <c r="D312" s="268">
        <v>225020</v>
      </c>
      <c r="E312">
        <v>530</v>
      </c>
      <c r="F312" s="137">
        <v>2.3999999999999998E-3</v>
      </c>
      <c r="G312" s="202">
        <v>44061</v>
      </c>
      <c r="H312" t="s">
        <v>6681</v>
      </c>
      <c r="I312" s="40" t="s">
        <v>6427</v>
      </c>
      <c r="L312" s="40" t="str">
        <f t="shared" si="6"/>
        <v>USD,20200818,224420,225520,224410,225020,1,1,1</v>
      </c>
    </row>
    <row r="313" spans="1:12">
      <c r="A313" s="268">
        <v>220520</v>
      </c>
      <c r="B313" s="268">
        <v>220410</v>
      </c>
      <c r="C313" s="268">
        <v>224520</v>
      </c>
      <c r="D313" s="268">
        <v>224490</v>
      </c>
      <c r="E313">
        <v>5470</v>
      </c>
      <c r="F313" s="137">
        <v>2.5000000000000001E-2</v>
      </c>
      <c r="G313" s="202">
        <v>44060</v>
      </c>
      <c r="H313" t="s">
        <v>6682</v>
      </c>
      <c r="I313" s="40" t="s">
        <v>6427</v>
      </c>
      <c r="L313" s="40" t="str">
        <f t="shared" si="6"/>
        <v>USD,20200817,218970,224520,218910,224490,1,1,1</v>
      </c>
    </row>
    <row r="314" spans="1:12">
      <c r="A314" s="268">
        <v>219520</v>
      </c>
      <c r="B314" s="268">
        <v>219410</v>
      </c>
      <c r="C314" s="268">
        <v>219020</v>
      </c>
      <c r="D314" s="268">
        <v>219020</v>
      </c>
      <c r="E314">
        <v>1500</v>
      </c>
      <c r="F314" s="137">
        <v>6.7999999999999996E-3</v>
      </c>
      <c r="G314" s="202">
        <v>44059</v>
      </c>
      <c r="H314" t="s">
        <v>6683</v>
      </c>
      <c r="I314" s="40" t="s">
        <v>6427</v>
      </c>
      <c r="L314" s="40" t="str">
        <f t="shared" si="6"/>
        <v>USD,20200816,218970,219020,218910,219020,1,1,1</v>
      </c>
    </row>
    <row r="315" spans="1:12">
      <c r="A315" s="268">
        <v>216800</v>
      </c>
      <c r="B315" s="268">
        <v>216710</v>
      </c>
      <c r="C315" s="268">
        <v>220520</v>
      </c>
      <c r="D315" s="268">
        <v>220520</v>
      </c>
      <c r="E315">
        <v>20</v>
      </c>
      <c r="F315" s="137">
        <v>1E-4</v>
      </c>
      <c r="G315" s="202">
        <v>44058</v>
      </c>
      <c r="H315" t="s">
        <v>6684</v>
      </c>
      <c r="I315" s="40" t="s">
        <v>6427</v>
      </c>
      <c r="L315" s="40" t="str">
        <f t="shared" si="6"/>
        <v>USD,20200815,220520,220520,220410,220520,1,1,1</v>
      </c>
    </row>
    <row r="316" spans="1:12">
      <c r="A316" s="268">
        <v>209930</v>
      </c>
      <c r="B316" s="268">
        <v>209910</v>
      </c>
      <c r="C316" s="268">
        <v>220520</v>
      </c>
      <c r="D316" s="268">
        <v>220500</v>
      </c>
      <c r="E316">
        <v>2480</v>
      </c>
      <c r="F316" s="137">
        <v>1.14E-2</v>
      </c>
      <c r="G316" s="202">
        <v>44056</v>
      </c>
      <c r="H316" t="s">
        <v>6685</v>
      </c>
      <c r="I316" s="40" t="s">
        <v>6427</v>
      </c>
      <c r="L316" s="40" t="str">
        <f t="shared" si="6"/>
        <v>USD,20200813,219520,220520,219410,220500,1,1,1</v>
      </c>
    </row>
    <row r="317" spans="1:12">
      <c r="A317" s="268">
        <v>217960</v>
      </c>
      <c r="B317" s="268">
        <v>207910</v>
      </c>
      <c r="C317" s="268">
        <v>218020</v>
      </c>
      <c r="D317" s="268">
        <v>218020</v>
      </c>
      <c r="E317">
        <v>1200</v>
      </c>
      <c r="F317" s="137">
        <v>5.4999999999999997E-3</v>
      </c>
      <c r="G317" s="202">
        <v>44055</v>
      </c>
      <c r="H317" t="s">
        <v>6686</v>
      </c>
      <c r="I317" s="40" t="s">
        <v>6427</v>
      </c>
      <c r="L317" s="40" t="str">
        <f t="shared" si="6"/>
        <v>USD,20200812,216800,218020,216710,218020,1,1,1</v>
      </c>
    </row>
    <row r="318" spans="1:12">
      <c r="A318" s="268">
        <v>229980</v>
      </c>
      <c r="B318" s="268">
        <v>217910</v>
      </c>
      <c r="C318" s="268">
        <v>216820</v>
      </c>
      <c r="D318" s="268">
        <v>216820</v>
      </c>
      <c r="E318">
        <v>6910</v>
      </c>
      <c r="F318" s="137">
        <v>3.2899999999999999E-2</v>
      </c>
      <c r="G318" s="202">
        <v>44054</v>
      </c>
      <c r="H318" t="s">
        <v>6687</v>
      </c>
      <c r="I318" s="40" t="s">
        <v>6427</v>
      </c>
      <c r="L318" s="40" t="str">
        <f t="shared" si="6"/>
        <v>USD,20200811,209930,216820,209910,216820,1,1,1</v>
      </c>
    </row>
    <row r="319" spans="1:12">
      <c r="A319" s="268">
        <v>229970</v>
      </c>
      <c r="B319" s="268">
        <v>229910</v>
      </c>
      <c r="C319" s="268">
        <v>218020</v>
      </c>
      <c r="D319" s="268">
        <v>209910</v>
      </c>
      <c r="E319">
        <v>8110</v>
      </c>
      <c r="F319" s="137">
        <v>3.8600000000000002E-2</v>
      </c>
      <c r="G319" s="202">
        <v>44053</v>
      </c>
      <c r="H319" t="s">
        <v>6688</v>
      </c>
      <c r="I319" s="40" t="s">
        <v>6427</v>
      </c>
      <c r="L319" s="40" t="str">
        <f t="shared" si="6"/>
        <v>USD,20200810,217960,218020,207910,209910,1,1,1</v>
      </c>
    </row>
    <row r="320" spans="1:12">
      <c r="A320" s="268">
        <v>223020</v>
      </c>
      <c r="B320" s="268">
        <v>222910</v>
      </c>
      <c r="C320" s="268">
        <v>230020</v>
      </c>
      <c r="D320" s="268">
        <v>218020</v>
      </c>
      <c r="E320">
        <v>12000</v>
      </c>
      <c r="F320" s="137">
        <v>5.5E-2</v>
      </c>
      <c r="G320" s="202">
        <v>44052</v>
      </c>
      <c r="H320" t="s">
        <v>6689</v>
      </c>
      <c r="I320" s="40" t="s">
        <v>6427</v>
      </c>
      <c r="L320" s="40" t="str">
        <f t="shared" si="6"/>
        <v>USD,20200809,229980,230020,217910,218020,1,1,1</v>
      </c>
    </row>
    <row r="321" spans="1:12">
      <c r="A321" s="268">
        <v>219020</v>
      </c>
      <c r="B321" s="268">
        <v>218910</v>
      </c>
      <c r="C321" s="268">
        <v>230020</v>
      </c>
      <c r="D321" s="268">
        <v>230020</v>
      </c>
      <c r="E321">
        <v>3000</v>
      </c>
      <c r="F321" s="137">
        <v>1.32E-2</v>
      </c>
      <c r="G321" s="202">
        <v>44049</v>
      </c>
      <c r="H321" t="s">
        <v>6690</v>
      </c>
      <c r="I321" s="40" t="s">
        <v>6427</v>
      </c>
      <c r="L321" s="40" t="str">
        <f t="shared" si="6"/>
        <v>USD,20200806,229970,230020,229910,230020,1,1,1</v>
      </c>
    </row>
    <row r="322" spans="1:12">
      <c r="A322" s="268">
        <v>217000</v>
      </c>
      <c r="B322" s="268">
        <v>216910</v>
      </c>
      <c r="C322" s="268">
        <v>227020</v>
      </c>
      <c r="D322" s="268">
        <v>227020</v>
      </c>
      <c r="E322">
        <v>4060</v>
      </c>
      <c r="F322" s="137">
        <v>1.8200000000000001E-2</v>
      </c>
      <c r="G322" s="202">
        <v>44048</v>
      </c>
      <c r="H322" t="s">
        <v>6330</v>
      </c>
      <c r="I322" s="40" t="s">
        <v>6427</v>
      </c>
      <c r="L322" s="40" t="str">
        <f t="shared" si="6"/>
        <v>USD,20200805,223020,227020,222910,227020,1,1,1</v>
      </c>
    </row>
    <row r="323" spans="1:12">
      <c r="A323" s="268">
        <v>212940</v>
      </c>
      <c r="B323" s="268">
        <v>212910</v>
      </c>
      <c r="C323" s="268">
        <v>223020</v>
      </c>
      <c r="D323" s="268">
        <v>222960</v>
      </c>
      <c r="E323">
        <v>3970</v>
      </c>
      <c r="F323" s="137">
        <v>1.8100000000000002E-2</v>
      </c>
      <c r="G323" s="202">
        <v>44047</v>
      </c>
      <c r="H323" t="s">
        <v>6691</v>
      </c>
      <c r="I323" s="40" t="s">
        <v>6427</v>
      </c>
      <c r="L323" s="40" t="str">
        <f t="shared" si="6"/>
        <v>USD,20200804,219020,223020,218910,222960,1,1,1</v>
      </c>
    </row>
    <row r="324" spans="1:12">
      <c r="A324" s="268">
        <v>207940</v>
      </c>
      <c r="B324" s="268">
        <v>207910</v>
      </c>
      <c r="C324" s="268">
        <v>219020</v>
      </c>
      <c r="D324" s="268">
        <v>218990</v>
      </c>
      <c r="E324">
        <v>1970</v>
      </c>
      <c r="F324" s="137">
        <v>9.1000000000000004E-3</v>
      </c>
      <c r="G324" s="202">
        <v>44046</v>
      </c>
      <c r="H324" t="s">
        <v>6692</v>
      </c>
      <c r="I324" s="40" t="s">
        <v>6427</v>
      </c>
      <c r="L324" s="40" t="str">
        <f t="shared" si="6"/>
        <v>USD,20200803,217000,219020,216910,218990,1,1,1</v>
      </c>
    </row>
    <row r="325" spans="1:12">
      <c r="A325" s="268">
        <v>207990</v>
      </c>
      <c r="B325" s="268">
        <v>207910</v>
      </c>
      <c r="C325" s="268">
        <v>217020</v>
      </c>
      <c r="D325" s="268">
        <v>217020</v>
      </c>
      <c r="E325">
        <v>4000</v>
      </c>
      <c r="F325" s="137">
        <v>1.8800000000000001E-2</v>
      </c>
      <c r="G325" s="202">
        <v>44045</v>
      </c>
      <c r="H325" t="s">
        <v>6693</v>
      </c>
      <c r="I325" s="40" t="s">
        <v>6427</v>
      </c>
      <c r="L325" s="40" t="str">
        <f t="shared" si="6"/>
        <v>USD,20200802,212940,217020,212910,217020,1,1,1</v>
      </c>
    </row>
    <row r="326" spans="1:12">
      <c r="A326" s="268">
        <v>204930</v>
      </c>
      <c r="B326" s="268">
        <v>204910</v>
      </c>
      <c r="C326" s="268">
        <v>213020</v>
      </c>
      <c r="D326" s="268">
        <v>213020</v>
      </c>
      <c r="E326">
        <v>5000</v>
      </c>
      <c r="F326" s="137">
        <v>2.4E-2</v>
      </c>
      <c r="G326" s="202">
        <v>44044</v>
      </c>
      <c r="H326" t="s">
        <v>6694</v>
      </c>
      <c r="I326" s="40" t="s">
        <v>6427</v>
      </c>
      <c r="L326" s="40" t="str">
        <f t="shared" si="6"/>
        <v>USD,20200801,207940,213020,207910,213020,1,1,1</v>
      </c>
    </row>
    <row r="327" spans="1:12">
      <c r="A327" s="268">
        <v>205020</v>
      </c>
      <c r="B327" s="268">
        <v>204910</v>
      </c>
      <c r="C327" s="268">
        <v>208020</v>
      </c>
      <c r="D327" s="268">
        <v>208020</v>
      </c>
      <c r="E327">
        <v>3030</v>
      </c>
      <c r="F327" s="137">
        <v>1.4800000000000001E-2</v>
      </c>
      <c r="G327" s="202">
        <v>44042</v>
      </c>
      <c r="H327" t="s">
        <v>6695</v>
      </c>
      <c r="I327" s="40" t="s">
        <v>6427</v>
      </c>
      <c r="L327" s="40" t="str">
        <f t="shared" si="6"/>
        <v>USD,20200730,207990,208020,207910,208020,1,1,1</v>
      </c>
    </row>
    <row r="328" spans="1:12">
      <c r="A328" s="268">
        <v>202980</v>
      </c>
      <c r="B328" s="268">
        <v>202910</v>
      </c>
      <c r="C328" s="268">
        <v>205020</v>
      </c>
      <c r="D328" s="268">
        <v>204990</v>
      </c>
      <c r="E328">
        <v>70</v>
      </c>
      <c r="F328" s="137">
        <v>2.9999999999999997E-4</v>
      </c>
      <c r="G328" s="202">
        <v>44041</v>
      </c>
      <c r="H328" t="s">
        <v>6696</v>
      </c>
      <c r="I328" s="40" t="s">
        <v>6427</v>
      </c>
      <c r="L328" s="40" t="str">
        <f t="shared" si="6"/>
        <v>USD,20200729,204930,205020,204910,204990,1,1,1</v>
      </c>
    </row>
    <row r="329" spans="1:12">
      <c r="A329" s="268">
        <v>202940</v>
      </c>
      <c r="B329" s="268">
        <v>202910</v>
      </c>
      <c r="C329" s="268">
        <v>205020</v>
      </c>
      <c r="D329" s="268">
        <v>204920</v>
      </c>
      <c r="E329">
        <v>10</v>
      </c>
      <c r="F329" t="s">
        <v>6426</v>
      </c>
      <c r="G329" s="202">
        <v>44040</v>
      </c>
      <c r="H329" t="s">
        <v>6697</v>
      </c>
      <c r="I329" s="40" t="s">
        <v>6427</v>
      </c>
      <c r="L329" s="40" t="str">
        <f t="shared" si="6"/>
        <v>USD,20200728,205020,205020,204910,204920,1,1,1</v>
      </c>
    </row>
    <row r="330" spans="1:12">
      <c r="A330" s="268">
        <v>203020</v>
      </c>
      <c r="B330" s="268">
        <v>202910</v>
      </c>
      <c r="C330" s="268">
        <v>205020</v>
      </c>
      <c r="D330" s="268">
        <v>204910</v>
      </c>
      <c r="E330">
        <v>1960</v>
      </c>
      <c r="F330" s="137">
        <v>9.7000000000000003E-3</v>
      </c>
      <c r="G330" s="202">
        <v>44039</v>
      </c>
      <c r="H330" t="s">
        <v>6698</v>
      </c>
      <c r="I330" s="40" t="s">
        <v>6427</v>
      </c>
      <c r="L330" s="40" t="str">
        <f t="shared" si="6"/>
        <v>USD,20200727,202980,205020,202910,204910,1,1,1</v>
      </c>
    </row>
    <row r="331" spans="1:12">
      <c r="A331" s="268">
        <v>203000</v>
      </c>
      <c r="B331" s="268">
        <v>202910</v>
      </c>
      <c r="C331" s="268">
        <v>203020</v>
      </c>
      <c r="D331" s="268">
        <v>202950</v>
      </c>
      <c r="E331">
        <v>70</v>
      </c>
      <c r="F331" s="137">
        <v>2.9999999999999997E-4</v>
      </c>
      <c r="G331" s="202">
        <v>44038</v>
      </c>
      <c r="H331" t="s">
        <v>6699</v>
      </c>
      <c r="I331" s="40" t="s">
        <v>6427</v>
      </c>
      <c r="L331" s="40" t="str">
        <f t="shared" si="6"/>
        <v>USD,20200726,202940,203020,202910,202950,1,1,1</v>
      </c>
    </row>
    <row r="332" spans="1:12">
      <c r="A332" s="268">
        <v>204430</v>
      </c>
      <c r="B332" s="268">
        <v>203410</v>
      </c>
      <c r="C332" s="268">
        <v>203020</v>
      </c>
      <c r="D332" s="268">
        <v>203020</v>
      </c>
      <c r="E332">
        <v>110</v>
      </c>
      <c r="F332" s="137">
        <v>5.0000000000000001E-4</v>
      </c>
      <c r="G332" s="202">
        <v>44037</v>
      </c>
      <c r="H332" t="s">
        <v>6700</v>
      </c>
      <c r="I332" s="40" t="s">
        <v>6427</v>
      </c>
      <c r="L332" s="40" t="str">
        <f t="shared" si="6"/>
        <v>USD,20200725,203020,203020,202910,203020,1,1,1</v>
      </c>
    </row>
    <row r="333" spans="1:12">
      <c r="A333" s="268">
        <v>225920</v>
      </c>
      <c r="B333" s="268">
        <v>204410</v>
      </c>
      <c r="C333" s="268">
        <v>203020</v>
      </c>
      <c r="D333" s="268">
        <v>202910</v>
      </c>
      <c r="E333">
        <v>520</v>
      </c>
      <c r="F333" s="137">
        <v>2.5999999999999999E-3</v>
      </c>
      <c r="G333" s="202">
        <v>44035</v>
      </c>
      <c r="H333" t="s">
        <v>6701</v>
      </c>
      <c r="I333" s="40" t="s">
        <v>6427</v>
      </c>
      <c r="L333" s="40" t="str">
        <f t="shared" si="6"/>
        <v>USD,20200723,203000,203020,202910,202910,1,1,1</v>
      </c>
    </row>
    <row r="334" spans="1:12">
      <c r="A334" s="268">
        <v>279840</v>
      </c>
      <c r="B334" s="268">
        <v>279700</v>
      </c>
      <c r="C334" s="268">
        <v>204520</v>
      </c>
      <c r="D334" s="268">
        <v>203430</v>
      </c>
      <c r="E334">
        <v>1090</v>
      </c>
      <c r="F334" s="137">
        <v>5.4000000000000003E-3</v>
      </c>
      <c r="G334" s="202">
        <v>44034</v>
      </c>
      <c r="H334" t="s">
        <v>6702</v>
      </c>
      <c r="I334" s="40" t="s">
        <v>6427</v>
      </c>
      <c r="L334" s="40" t="str">
        <f t="shared" si="6"/>
        <v>USD,20200722,204430,204520,203410,203430,1,1,1</v>
      </c>
    </row>
    <row r="335" spans="1:12" ht="15.75" thickBot="1">
      <c r="A335" s="268">
        <v>278010</v>
      </c>
      <c r="B335" s="268">
        <v>277200</v>
      </c>
      <c r="C335" s="268">
        <v>226020</v>
      </c>
      <c r="D335" s="268">
        <v>204520</v>
      </c>
      <c r="E335">
        <v>21500</v>
      </c>
      <c r="F335" s="137">
        <v>0.1051</v>
      </c>
      <c r="G335" s="202">
        <v>44033</v>
      </c>
      <c r="H335" t="s">
        <v>6703</v>
      </c>
      <c r="I335" s="40" t="s">
        <v>6427</v>
      </c>
      <c r="L335" s="40" t="str">
        <f t="shared" si="6"/>
        <v>USD,20200721,225920,226020,204410,204520,1,1,1</v>
      </c>
    </row>
    <row r="336" spans="1:12" ht="15.75" thickBot="1">
      <c r="A336" s="412">
        <v>283180</v>
      </c>
      <c r="B336" s="413">
        <v>283100</v>
      </c>
      <c r="C336" s="413">
        <v>284480</v>
      </c>
      <c r="D336" s="413">
        <v>284240</v>
      </c>
      <c r="E336" s="414">
        <v>580</v>
      </c>
      <c r="F336" s="415">
        <v>2E-3</v>
      </c>
      <c r="G336" s="416">
        <v>44511</v>
      </c>
      <c r="H336" s="417" t="s">
        <v>6823</v>
      </c>
      <c r="I336" s="40" t="s">
        <v>6427</v>
      </c>
      <c r="L336" s="40" t="str">
        <f t="shared" si="6"/>
        <v>USD,20211111,279840,284480,279700,284240,1,1,1</v>
      </c>
    </row>
    <row r="337" spans="1:12" ht="15.75" thickBot="1">
      <c r="A337" s="400">
        <v>281760</v>
      </c>
      <c r="B337" s="401">
        <v>281400</v>
      </c>
      <c r="C337" s="401">
        <v>283880</v>
      </c>
      <c r="D337" s="401">
        <v>283660</v>
      </c>
      <c r="E337" s="402">
        <v>2600</v>
      </c>
      <c r="F337" s="403">
        <v>9.2999999999999992E-3</v>
      </c>
      <c r="G337" s="404">
        <v>44510</v>
      </c>
      <c r="H337" s="405" t="s">
        <v>6824</v>
      </c>
      <c r="I337" s="40" t="s">
        <v>6427</v>
      </c>
      <c r="L337" s="40" t="str">
        <f t="shared" si="6"/>
        <v>USD,20211110,278010,283880,277200,283660,1,1,1</v>
      </c>
    </row>
    <row r="338" spans="1:12" ht="15.75" thickBot="1">
      <c r="A338" s="406">
        <v>280230</v>
      </c>
      <c r="B338" s="407">
        <v>280200</v>
      </c>
      <c r="C338" s="407">
        <v>281780</v>
      </c>
      <c r="D338" s="407">
        <v>281060</v>
      </c>
      <c r="E338" s="408">
        <v>820</v>
      </c>
      <c r="F338" s="409">
        <v>2.8999999999999998E-3</v>
      </c>
      <c r="G338" s="410">
        <v>44509</v>
      </c>
      <c r="H338" s="411" t="s">
        <v>6825</v>
      </c>
      <c r="I338" s="40" t="s">
        <v>6427</v>
      </c>
      <c r="L338" s="40" t="str">
        <f t="shared" si="6"/>
        <v>USD,20211109,283180,281780,283100,281060,1,1,1</v>
      </c>
    </row>
    <row r="339" spans="1:12">
      <c r="A339" s="268"/>
      <c r="B339" s="268"/>
    </row>
    <row r="340" spans="1:12">
      <c r="A340" s="268"/>
      <c r="B340" s="268"/>
    </row>
    <row r="341" spans="1:12">
      <c r="A341" s="268"/>
      <c r="B341" s="268"/>
    </row>
    <row r="342" spans="1:12">
      <c r="A342" s="268"/>
      <c r="B342" s="268"/>
    </row>
    <row r="343" spans="1:12">
      <c r="A343" s="268"/>
      <c r="B343" s="268"/>
    </row>
    <row r="344" spans="1:12">
      <c r="A344" s="268"/>
      <c r="B344" s="268"/>
    </row>
    <row r="345" spans="1:12">
      <c r="A345" s="268"/>
      <c r="B345" s="268"/>
    </row>
    <row r="346" spans="1:12">
      <c r="A346" s="268"/>
      <c r="B346" s="268"/>
    </row>
    <row r="347" spans="1:12">
      <c r="A347" s="268"/>
      <c r="B347" s="268"/>
    </row>
    <row r="348" spans="1:12">
      <c r="A348" s="268"/>
      <c r="B348" s="268"/>
    </row>
    <row r="349" spans="1:12">
      <c r="A349" s="268"/>
      <c r="B349" s="268"/>
    </row>
    <row r="350" spans="1:12">
      <c r="A350" s="268"/>
      <c r="B350" s="268"/>
    </row>
    <row r="351" spans="1:12">
      <c r="A351" s="268"/>
      <c r="B351" s="268"/>
    </row>
    <row r="352" spans="1:12">
      <c r="A352" s="268"/>
      <c r="B352" s="268"/>
    </row>
    <row r="353" spans="1:2">
      <c r="A353" s="268"/>
      <c r="B353" s="268"/>
    </row>
    <row r="354" spans="1:2">
      <c r="A354" s="268"/>
      <c r="B354" s="268"/>
    </row>
    <row r="355" spans="1:2">
      <c r="A355" s="268"/>
      <c r="B355" s="268"/>
    </row>
    <row r="356" spans="1:2">
      <c r="A356" s="268"/>
      <c r="B356" s="268"/>
    </row>
    <row r="357" spans="1:2">
      <c r="A357" s="268"/>
      <c r="B357" s="268"/>
    </row>
    <row r="358" spans="1:2">
      <c r="A358" s="268"/>
      <c r="B358" s="268"/>
    </row>
    <row r="359" spans="1:2">
      <c r="A359" s="268"/>
      <c r="B359" s="268"/>
    </row>
    <row r="360" spans="1:2">
      <c r="A360" s="268"/>
      <c r="B360" s="268"/>
    </row>
    <row r="361" spans="1:2">
      <c r="A361" s="268"/>
      <c r="B361" s="268"/>
    </row>
    <row r="362" spans="1:2">
      <c r="A362" s="268"/>
      <c r="B362" s="268"/>
    </row>
    <row r="363" spans="1:2">
      <c r="A363" s="268"/>
      <c r="B363" s="268"/>
    </row>
    <row r="364" spans="1:2">
      <c r="A364" s="268"/>
      <c r="B364" s="268"/>
    </row>
    <row r="365" spans="1:2">
      <c r="A365" s="268"/>
      <c r="B365" s="268"/>
    </row>
    <row r="366" spans="1:2">
      <c r="A366" s="268"/>
      <c r="B366" s="268"/>
    </row>
    <row r="367" spans="1:2">
      <c r="A367" s="268"/>
      <c r="B367" s="268"/>
    </row>
    <row r="368" spans="1:2">
      <c r="A368" s="268"/>
      <c r="B368" s="268"/>
    </row>
    <row r="369" spans="1:2">
      <c r="A369" s="268"/>
      <c r="B369" s="268"/>
    </row>
    <row r="370" spans="1:2">
      <c r="A370" s="268"/>
      <c r="B370" s="268"/>
    </row>
    <row r="371" spans="1:2">
      <c r="A371" s="268"/>
      <c r="B371" s="268"/>
    </row>
    <row r="372" spans="1:2">
      <c r="A372" s="268"/>
      <c r="B372" s="268"/>
    </row>
    <row r="373" spans="1:2">
      <c r="A373" s="268"/>
      <c r="B373" s="268"/>
    </row>
    <row r="374" spans="1:2">
      <c r="A374" s="268"/>
      <c r="B374" s="268"/>
    </row>
    <row r="375" spans="1:2">
      <c r="A375" s="268"/>
      <c r="B375" s="268"/>
    </row>
    <row r="376" spans="1:2">
      <c r="A376" s="268"/>
      <c r="B376" s="268"/>
    </row>
    <row r="377" spans="1:2">
      <c r="A377" s="268"/>
      <c r="B377" s="268"/>
    </row>
    <row r="378" spans="1:2">
      <c r="A378" s="268"/>
      <c r="B378" s="268"/>
    </row>
    <row r="379" spans="1:2">
      <c r="A379" s="268"/>
      <c r="B379" s="268"/>
    </row>
    <row r="380" spans="1:2">
      <c r="A380" s="268"/>
      <c r="B380" s="268"/>
    </row>
    <row r="381" spans="1:2">
      <c r="A381" s="268"/>
      <c r="B381" s="268"/>
    </row>
    <row r="382" spans="1:2">
      <c r="A382" s="268"/>
      <c r="B382" s="268"/>
    </row>
    <row r="383" spans="1:2">
      <c r="A383" s="268"/>
      <c r="B383" s="26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4601</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4601</v>
      </c>
      <c r="B305" s="18">
        <v>-276773</v>
      </c>
      <c r="C305" s="18">
        <v>0</v>
      </c>
      <c r="D305" s="18">
        <f t="shared" si="18"/>
        <v>-276773</v>
      </c>
      <c r="E305" s="97" t="s">
        <v>4603</v>
      </c>
      <c r="F305" s="97">
        <v>2</v>
      </c>
      <c r="G305" s="36">
        <f t="shared" si="27"/>
        <v>57</v>
      </c>
      <c r="H305" s="97">
        <f t="shared" si="15"/>
        <v>0</v>
      </c>
      <c r="I305" s="97">
        <f t="shared" si="24"/>
        <v>-15776061</v>
      </c>
      <c r="J305" s="97">
        <f t="shared" si="25"/>
        <v>0</v>
      </c>
      <c r="K305" s="97">
        <f t="shared" si="26"/>
        <v>-15776061</v>
      </c>
    </row>
    <row r="306" spans="1:13">
      <c r="A306" s="97" t="s">
        <v>4604</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4609</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4615</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4615</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4624</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4617</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4618</v>
      </c>
      <c r="B312" s="18">
        <v>-324747</v>
      </c>
      <c r="C312" s="18">
        <v>0</v>
      </c>
      <c r="D312" s="18">
        <f t="shared" si="18"/>
        <v>-324747</v>
      </c>
      <c r="E312" s="97" t="s">
        <v>4625</v>
      </c>
      <c r="F312" s="97">
        <v>3</v>
      </c>
      <c r="G312" s="36">
        <f t="shared" si="28"/>
        <v>44</v>
      </c>
      <c r="H312" s="97">
        <f t="shared" si="29"/>
        <v>0</v>
      </c>
      <c r="I312" s="97">
        <f t="shared" si="30"/>
        <v>-14288868</v>
      </c>
      <c r="J312" s="97">
        <f t="shared" si="31"/>
        <v>0</v>
      </c>
      <c r="K312" s="97">
        <f t="shared" si="32"/>
        <v>-14288868</v>
      </c>
      <c r="M312" t="s">
        <v>25</v>
      </c>
    </row>
    <row r="313" spans="1:13">
      <c r="A313" s="97" t="s">
        <v>4632</v>
      </c>
      <c r="B313" s="18">
        <v>-297992</v>
      </c>
      <c r="C313" s="18">
        <v>0</v>
      </c>
      <c r="D313" s="18">
        <f t="shared" si="18"/>
        <v>-297992</v>
      </c>
      <c r="E313" s="97" t="s">
        <v>4633</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4640</v>
      </c>
      <c r="B315" s="18">
        <v>-40000</v>
      </c>
      <c r="C315" s="18">
        <v>0</v>
      </c>
      <c r="D315" s="18">
        <f t="shared" si="18"/>
        <v>-40000</v>
      </c>
      <c r="E315" s="97" t="s">
        <v>4646</v>
      </c>
      <c r="F315" s="97">
        <v>4</v>
      </c>
      <c r="G315" s="36">
        <f t="shared" si="28"/>
        <v>38</v>
      </c>
      <c r="H315" s="97">
        <f t="shared" si="29"/>
        <v>0</v>
      </c>
      <c r="I315" s="97">
        <f t="shared" si="30"/>
        <v>-1520000</v>
      </c>
      <c r="J315" s="97">
        <f t="shared" si="31"/>
        <v>0</v>
      </c>
      <c r="K315" s="97">
        <f t="shared" si="32"/>
        <v>-1520000</v>
      </c>
    </row>
    <row r="316" spans="1:13">
      <c r="A316" s="97" t="s">
        <v>4651</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4668</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4674</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4674</v>
      </c>
      <c r="B319" s="18">
        <v>-1866154</v>
      </c>
      <c r="C319" s="18">
        <v>0</v>
      </c>
      <c r="D319" s="18">
        <f t="shared" si="18"/>
        <v>-1866154</v>
      </c>
      <c r="E319" s="19" t="s">
        <v>4680</v>
      </c>
      <c r="F319" s="97">
        <v>0</v>
      </c>
      <c r="G319" s="36">
        <f t="shared" si="28"/>
        <v>29</v>
      </c>
      <c r="H319" s="97">
        <f t="shared" si="29"/>
        <v>0</v>
      </c>
      <c r="I319" s="97">
        <f t="shared" si="30"/>
        <v>-54118466</v>
      </c>
      <c r="J319" s="97">
        <f t="shared" si="31"/>
        <v>0</v>
      </c>
      <c r="K319" s="97">
        <f t="shared" si="32"/>
        <v>-54118466</v>
      </c>
    </row>
    <row r="320" spans="1:13">
      <c r="A320" s="11" t="s">
        <v>4674</v>
      </c>
      <c r="B320" s="18">
        <v>-36600</v>
      </c>
      <c r="C320" s="18">
        <v>0</v>
      </c>
      <c r="D320" s="18">
        <f t="shared" si="18"/>
        <v>-36600</v>
      </c>
      <c r="E320" s="97" t="s">
        <v>4681</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4682</v>
      </c>
      <c r="B321" s="18">
        <v>-492000</v>
      </c>
      <c r="C321" s="18">
        <v>0</v>
      </c>
      <c r="D321" s="18">
        <f t="shared" si="18"/>
        <v>-492000</v>
      </c>
      <c r="E321" s="97" t="s">
        <v>4683</v>
      </c>
      <c r="F321" s="97">
        <v>0</v>
      </c>
      <c r="G321" s="36">
        <f t="shared" si="33"/>
        <v>28</v>
      </c>
      <c r="H321" s="97">
        <f t="shared" si="34"/>
        <v>0</v>
      </c>
      <c r="I321" s="97">
        <f t="shared" si="35"/>
        <v>-13776000</v>
      </c>
      <c r="J321" s="97">
        <f t="shared" si="36"/>
        <v>0</v>
      </c>
      <c r="K321" s="97">
        <f t="shared" si="37"/>
        <v>-13776000</v>
      </c>
      <c r="M321" t="s">
        <v>25</v>
      </c>
    </row>
    <row r="322" spans="1:14">
      <c r="A322" s="97" t="s">
        <v>4682</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4682</v>
      </c>
      <c r="B323" s="18">
        <v>-40000</v>
      </c>
      <c r="C323" s="18">
        <v>0</v>
      </c>
      <c r="D323" s="18">
        <f t="shared" si="18"/>
        <v>-40000</v>
      </c>
      <c r="E323" s="97" t="s">
        <v>4685</v>
      </c>
      <c r="F323" s="97">
        <v>1</v>
      </c>
      <c r="G323" s="36">
        <f t="shared" si="33"/>
        <v>28</v>
      </c>
      <c r="H323" s="97">
        <f t="shared" si="34"/>
        <v>0</v>
      </c>
      <c r="I323" s="97">
        <f t="shared" si="35"/>
        <v>-1120000</v>
      </c>
      <c r="J323" s="97">
        <f t="shared" si="36"/>
        <v>0</v>
      </c>
      <c r="K323" s="97">
        <f t="shared" si="37"/>
        <v>-1120000</v>
      </c>
    </row>
    <row r="324" spans="1:14">
      <c r="A324" s="97" t="s">
        <v>4686</v>
      </c>
      <c r="B324" s="18">
        <v>-66000</v>
      </c>
      <c r="C324" s="18">
        <v>0</v>
      </c>
      <c r="D324" s="18">
        <f t="shared" si="18"/>
        <v>-66000</v>
      </c>
      <c r="E324" s="97" t="s">
        <v>4685</v>
      </c>
      <c r="F324" s="97">
        <v>1</v>
      </c>
      <c r="G324" s="36">
        <f t="shared" si="33"/>
        <v>27</v>
      </c>
      <c r="H324" s="97">
        <f t="shared" si="34"/>
        <v>0</v>
      </c>
      <c r="I324" s="97">
        <f t="shared" si="35"/>
        <v>-1782000</v>
      </c>
      <c r="J324" s="97">
        <f t="shared" si="36"/>
        <v>0</v>
      </c>
      <c r="K324" s="97">
        <f t="shared" si="37"/>
        <v>-1782000</v>
      </c>
    </row>
    <row r="325" spans="1:14">
      <c r="A325" s="97" t="s">
        <v>4687</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4687</v>
      </c>
      <c r="B326" s="18">
        <v>-200500</v>
      </c>
      <c r="C326" s="18">
        <v>0</v>
      </c>
      <c r="D326" s="18">
        <f t="shared" si="18"/>
        <v>-200500</v>
      </c>
      <c r="E326" s="97" t="s">
        <v>4688</v>
      </c>
      <c r="F326" s="97">
        <v>2</v>
      </c>
      <c r="G326" s="36">
        <f t="shared" si="33"/>
        <v>26</v>
      </c>
      <c r="H326" s="97">
        <f t="shared" si="34"/>
        <v>0</v>
      </c>
      <c r="I326" s="97">
        <f t="shared" si="35"/>
        <v>-5213000</v>
      </c>
      <c r="J326" s="97">
        <f t="shared" si="36"/>
        <v>0</v>
      </c>
      <c r="K326" s="97">
        <f t="shared" si="37"/>
        <v>-5213000</v>
      </c>
      <c r="M326" t="s">
        <v>25</v>
      </c>
    </row>
    <row r="327" spans="1:14">
      <c r="A327" s="97" t="s">
        <v>4692</v>
      </c>
      <c r="B327" s="18">
        <v>1563000</v>
      </c>
      <c r="C327" s="18">
        <v>0</v>
      </c>
      <c r="D327" s="18">
        <f t="shared" si="18"/>
        <v>1563000</v>
      </c>
      <c r="E327" s="97" t="s">
        <v>4694</v>
      </c>
      <c r="F327" s="97">
        <v>0</v>
      </c>
      <c r="G327" s="36">
        <f t="shared" si="33"/>
        <v>24</v>
      </c>
      <c r="H327" s="97">
        <f t="shared" si="34"/>
        <v>1</v>
      </c>
      <c r="I327" s="97">
        <f t="shared" si="35"/>
        <v>35949000</v>
      </c>
      <c r="J327" s="97">
        <f t="shared" si="36"/>
        <v>0</v>
      </c>
      <c r="K327" s="97">
        <f t="shared" si="37"/>
        <v>35949000</v>
      </c>
    </row>
    <row r="328" spans="1:14">
      <c r="A328" s="97" t="s">
        <v>4692</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4701</v>
      </c>
      <c r="B329" s="18">
        <v>-20000</v>
      </c>
      <c r="C329" s="18">
        <v>0</v>
      </c>
      <c r="D329" s="18">
        <f t="shared" si="18"/>
        <v>-20000</v>
      </c>
      <c r="E329" s="97" t="s">
        <v>4704</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4713</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4718</v>
      </c>
      <c r="F331" s="97">
        <v>2</v>
      </c>
      <c r="G331" s="36">
        <f t="shared" si="33"/>
        <v>19</v>
      </c>
      <c r="H331" s="97">
        <f t="shared" si="34"/>
        <v>0</v>
      </c>
      <c r="I331" s="97">
        <f t="shared" si="35"/>
        <v>-15019500</v>
      </c>
      <c r="J331" s="97">
        <f t="shared" si="36"/>
        <v>0</v>
      </c>
      <c r="K331" s="97">
        <f t="shared" si="37"/>
        <v>-15019500</v>
      </c>
    </row>
    <row r="332" spans="1:14">
      <c r="A332" s="97" t="s">
        <v>4722</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4727</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4730</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4730</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4730</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4732</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4732</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4733</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4733</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4738</v>
      </c>
      <c r="B341" s="18">
        <v>433375</v>
      </c>
      <c r="C341" s="18">
        <v>0</v>
      </c>
      <c r="D341" s="18">
        <f t="shared" si="18"/>
        <v>433375</v>
      </c>
      <c r="E341" s="97" t="s">
        <v>4741</v>
      </c>
      <c r="F341" s="97">
        <v>1</v>
      </c>
      <c r="G341" s="36">
        <f>G342+F341</f>
        <v>11</v>
      </c>
      <c r="H341" s="97">
        <f>IF(B341&gt;0,1,0)</f>
        <v>1</v>
      </c>
      <c r="I341" s="97">
        <f>B341*(G341-H341)</f>
        <v>4333750</v>
      </c>
      <c r="J341" s="97">
        <f>C341*(G341-H341)</f>
        <v>0</v>
      </c>
      <c r="K341" s="97">
        <f>D341*(G341-H341)</f>
        <v>4333750</v>
      </c>
      <c r="M341" t="s">
        <v>25</v>
      </c>
    </row>
    <row r="342" spans="1:13">
      <c r="A342" s="97" t="s">
        <v>4747</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4747</v>
      </c>
      <c r="B343" s="18">
        <v>-300000</v>
      </c>
      <c r="C343" s="18">
        <v>0</v>
      </c>
      <c r="D343" s="18">
        <f t="shared" si="18"/>
        <v>-300000</v>
      </c>
      <c r="E343" s="97" t="s">
        <v>4749</v>
      </c>
      <c r="F343" s="97">
        <v>0</v>
      </c>
      <c r="G343" s="36">
        <f t="shared" si="38"/>
        <v>10</v>
      </c>
      <c r="H343" s="97">
        <f t="shared" si="39"/>
        <v>0</v>
      </c>
      <c r="I343" s="97">
        <f t="shared" si="40"/>
        <v>-3000000</v>
      </c>
      <c r="J343" s="97">
        <f t="shared" si="41"/>
        <v>0</v>
      </c>
      <c r="K343" s="97">
        <f t="shared" si="42"/>
        <v>-3000000</v>
      </c>
    </row>
    <row r="344" spans="1:13">
      <c r="A344" s="97" t="s">
        <v>4747</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4751</v>
      </c>
      <c r="F345" s="97">
        <v>3</v>
      </c>
      <c r="G345" s="36">
        <f t="shared" si="38"/>
        <v>9</v>
      </c>
      <c r="H345" s="97">
        <f t="shared" si="39"/>
        <v>0</v>
      </c>
      <c r="I345" s="97">
        <f t="shared" si="40"/>
        <v>-12759543</v>
      </c>
      <c r="J345" s="97">
        <f t="shared" si="41"/>
        <v>0</v>
      </c>
      <c r="K345" s="97">
        <f t="shared" si="42"/>
        <v>-12759543</v>
      </c>
      <c r="L345" t="s">
        <v>25</v>
      </c>
    </row>
    <row r="346" spans="1:13">
      <c r="A346" s="97" t="s">
        <v>4756</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4753</v>
      </c>
      <c r="B347" s="18">
        <v>-960200</v>
      </c>
      <c r="C347" s="18">
        <v>0</v>
      </c>
      <c r="D347" s="18">
        <f t="shared" si="18"/>
        <v>-960200</v>
      </c>
      <c r="E347" s="97" t="s">
        <v>4757</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4821</v>
      </c>
      <c r="B274" s="111">
        <v>3500000</v>
      </c>
      <c r="C274" s="97">
        <v>0</v>
      </c>
      <c r="D274" s="97">
        <f t="shared" si="8"/>
        <v>428</v>
      </c>
      <c r="E274" s="97">
        <f t="shared" si="10"/>
        <v>0</v>
      </c>
      <c r="F274" s="97">
        <f t="shared" si="9"/>
        <v>1498000000</v>
      </c>
      <c r="G274" s="97"/>
    </row>
    <row r="275" spans="1:11">
      <c r="A275" s="97" t="s">
        <v>4821</v>
      </c>
      <c r="B275" s="111">
        <v>-224012</v>
      </c>
      <c r="C275" s="97">
        <v>2</v>
      </c>
      <c r="D275" s="97">
        <f t="shared" si="8"/>
        <v>428</v>
      </c>
      <c r="E275" s="97">
        <f t="shared" si="10"/>
        <v>0</v>
      </c>
      <c r="F275" s="97">
        <f t="shared" si="9"/>
        <v>-95877136</v>
      </c>
      <c r="G275" s="97"/>
    </row>
    <row r="276" spans="1:11">
      <c r="A276" s="97" t="s">
        <v>4834</v>
      </c>
      <c r="B276" s="111">
        <v>-104671</v>
      </c>
      <c r="C276" s="97">
        <v>1</v>
      </c>
      <c r="D276" s="97">
        <f>D277+C276</f>
        <v>426</v>
      </c>
      <c r="E276" s="97">
        <f>IF(B277&gt;0,1,0)</f>
        <v>0</v>
      </c>
      <c r="F276" s="97">
        <f t="shared" si="9"/>
        <v>-44589846</v>
      </c>
      <c r="G276" s="97"/>
    </row>
    <row r="277" spans="1:11">
      <c r="A277" s="97" t="s">
        <v>4835</v>
      </c>
      <c r="B277" s="111">
        <v>-272000</v>
      </c>
      <c r="C277" s="97">
        <v>1</v>
      </c>
      <c r="D277" s="97">
        <f>D278+C277</f>
        <v>425</v>
      </c>
      <c r="E277" s="97">
        <f>IF(B278&gt;0,1,0)</f>
        <v>0</v>
      </c>
      <c r="F277" s="97">
        <f t="shared" si="9"/>
        <v>-115600000</v>
      </c>
      <c r="G277" s="97"/>
    </row>
    <row r="278" spans="1:11">
      <c r="A278" s="97" t="s">
        <v>4837</v>
      </c>
      <c r="B278" s="111">
        <v>-2565078</v>
      </c>
      <c r="C278" s="97">
        <v>2</v>
      </c>
      <c r="D278" s="97">
        <f>D279+C278</f>
        <v>424</v>
      </c>
      <c r="E278" s="97">
        <f>IF(B279&gt;0,1,0)</f>
        <v>0</v>
      </c>
      <c r="F278" s="97">
        <f t="shared" si="9"/>
        <v>-1087593072</v>
      </c>
      <c r="G278" s="97"/>
    </row>
    <row r="279" spans="1:11">
      <c r="A279" s="97" t="s">
        <v>4793</v>
      </c>
      <c r="B279" s="111">
        <v>-213500</v>
      </c>
      <c r="C279" s="97">
        <v>1</v>
      </c>
      <c r="D279" s="97">
        <f>D280+C279</f>
        <v>422</v>
      </c>
      <c r="E279" s="97">
        <f>IF(B280&gt;0,1,0)</f>
        <v>0</v>
      </c>
      <c r="F279" s="97">
        <f t="shared" si="9"/>
        <v>-90097000</v>
      </c>
      <c r="G279" s="97"/>
    </row>
    <row r="280" spans="1:11">
      <c r="A280" s="97" t="s">
        <v>4853</v>
      </c>
      <c r="B280" s="111">
        <v>-3810</v>
      </c>
      <c r="C280" s="97">
        <v>1</v>
      </c>
      <c r="D280" s="97">
        <f>D281+C280</f>
        <v>421</v>
      </c>
      <c r="E280" s="97">
        <f>IF(B281&gt;0,1,0)</f>
        <v>0</v>
      </c>
      <c r="F280" s="97">
        <f t="shared" si="9"/>
        <v>-1604010</v>
      </c>
      <c r="G280" s="97"/>
      <c r="J280" t="s">
        <v>25</v>
      </c>
    </row>
    <row r="281" spans="1:11">
      <c r="A281" s="97" t="s">
        <v>4854</v>
      </c>
      <c r="B281" s="111">
        <v>-120632</v>
      </c>
      <c r="C281" s="97">
        <v>1</v>
      </c>
      <c r="D281" s="97">
        <f t="shared" ref="D281:D288" si="11">D282+C281</f>
        <v>420</v>
      </c>
      <c r="E281" s="97">
        <f t="shared" ref="E281:E288" si="12">IF(B282&gt;0,1,0)</f>
        <v>1</v>
      </c>
      <c r="F281" s="97">
        <f t="shared" si="9"/>
        <v>-50544808</v>
      </c>
      <c r="G281" s="97"/>
      <c r="J281" t="s">
        <v>25</v>
      </c>
    </row>
    <row r="282" spans="1:11">
      <c r="A282" s="97" t="s">
        <v>4843</v>
      </c>
      <c r="B282" s="111">
        <v>80000</v>
      </c>
      <c r="C282" s="97">
        <v>0</v>
      </c>
      <c r="D282" s="97">
        <f t="shared" si="11"/>
        <v>419</v>
      </c>
      <c r="E282" s="97">
        <f t="shared" si="12"/>
        <v>0</v>
      </c>
      <c r="F282" s="97">
        <f t="shared" si="9"/>
        <v>33520000</v>
      </c>
      <c r="G282" s="97"/>
    </row>
    <row r="283" spans="1:11">
      <c r="A283" s="97" t="s">
        <v>4843</v>
      </c>
      <c r="B283" s="111">
        <v>-2500</v>
      </c>
      <c r="C283" s="97">
        <v>1</v>
      </c>
      <c r="D283" s="97">
        <f t="shared" si="11"/>
        <v>419</v>
      </c>
      <c r="E283" s="97">
        <f t="shared" si="12"/>
        <v>0</v>
      </c>
      <c r="F283" s="97">
        <f t="shared" si="9"/>
        <v>-1047500</v>
      </c>
      <c r="G283" s="97"/>
      <c r="J283" s="112">
        <f>B422-498804</f>
        <v>4142795</v>
      </c>
    </row>
    <row r="284" spans="1:11">
      <c r="A284" s="97" t="s">
        <v>4847</v>
      </c>
      <c r="B284" s="111">
        <v>-30000</v>
      </c>
      <c r="C284" s="97">
        <v>1</v>
      </c>
      <c r="D284" s="97">
        <f t="shared" si="11"/>
        <v>418</v>
      </c>
      <c r="E284" s="97">
        <f t="shared" si="12"/>
        <v>0</v>
      </c>
      <c r="F284" s="97">
        <f t="shared" si="9"/>
        <v>-12540000</v>
      </c>
      <c r="G284" s="97"/>
    </row>
    <row r="285" spans="1:11">
      <c r="A285" s="97" t="s">
        <v>4855</v>
      </c>
      <c r="B285" s="111">
        <v>-19800</v>
      </c>
      <c r="C285" s="97">
        <v>1</v>
      </c>
      <c r="D285" s="97">
        <f t="shared" si="11"/>
        <v>417</v>
      </c>
      <c r="E285" s="97">
        <f t="shared" si="12"/>
        <v>1</v>
      </c>
      <c r="F285" s="97">
        <f t="shared" si="9"/>
        <v>-8236800</v>
      </c>
      <c r="G285" s="97"/>
      <c r="K285" t="s">
        <v>25</v>
      </c>
    </row>
    <row r="286" spans="1:11">
      <c r="A286" s="97" t="s">
        <v>4846</v>
      </c>
      <c r="B286" s="111">
        <v>940000</v>
      </c>
      <c r="C286" s="97">
        <v>0</v>
      </c>
      <c r="D286" s="97">
        <f t="shared" si="11"/>
        <v>416</v>
      </c>
      <c r="E286" s="97">
        <f t="shared" si="12"/>
        <v>0</v>
      </c>
      <c r="F286" s="97">
        <f t="shared" si="9"/>
        <v>391040000</v>
      </c>
      <c r="G286" s="97"/>
    </row>
    <row r="287" spans="1:11">
      <c r="A287" s="97" t="s">
        <v>4846</v>
      </c>
      <c r="B287" s="111">
        <v>-201000</v>
      </c>
      <c r="C287" s="97">
        <v>1</v>
      </c>
      <c r="D287" s="97">
        <f t="shared" si="11"/>
        <v>416</v>
      </c>
      <c r="E287" s="97">
        <f t="shared" si="12"/>
        <v>0</v>
      </c>
      <c r="F287" s="97">
        <f t="shared" si="9"/>
        <v>-83616000</v>
      </c>
      <c r="G287" s="97"/>
    </row>
    <row r="288" spans="1:11">
      <c r="A288" s="97" t="s">
        <v>4851</v>
      </c>
      <c r="B288" s="111">
        <v>-320930</v>
      </c>
      <c r="C288" s="97">
        <v>3</v>
      </c>
      <c r="D288" s="97">
        <f t="shared" si="11"/>
        <v>415</v>
      </c>
      <c r="E288" s="97">
        <f t="shared" si="12"/>
        <v>0</v>
      </c>
      <c r="F288" s="97">
        <f t="shared" si="9"/>
        <v>-133185950</v>
      </c>
      <c r="G288" s="97"/>
    </row>
    <row r="289" spans="1:10">
      <c r="A289" s="97" t="s">
        <v>4852</v>
      </c>
      <c r="B289" s="111">
        <v>-400000</v>
      </c>
      <c r="C289" s="97">
        <v>1</v>
      </c>
      <c r="D289" s="97">
        <f t="shared" ref="D289:D306" si="13">D290+C289</f>
        <v>412</v>
      </c>
      <c r="E289" s="97">
        <f t="shared" ref="E289:E306" si="14">IF(B290&gt;0,1,0)</f>
        <v>0</v>
      </c>
      <c r="F289" s="97">
        <f t="shared" si="9"/>
        <v>-164800000</v>
      </c>
      <c r="G289" s="97"/>
    </row>
    <row r="290" spans="1:10">
      <c r="A290" s="97" t="s">
        <v>4857</v>
      </c>
      <c r="B290" s="111">
        <v>-16500</v>
      </c>
      <c r="C290" s="97">
        <v>11</v>
      </c>
      <c r="D290" s="97">
        <f t="shared" si="13"/>
        <v>411</v>
      </c>
      <c r="E290" s="97">
        <f t="shared" si="14"/>
        <v>1</v>
      </c>
      <c r="F290" s="97">
        <f t="shared" si="9"/>
        <v>-6765000</v>
      </c>
      <c r="G290" s="97"/>
    </row>
    <row r="291" spans="1:10">
      <c r="A291" s="97" t="s">
        <v>4873</v>
      </c>
      <c r="B291" s="111">
        <v>2600000</v>
      </c>
      <c r="C291" s="97">
        <v>2</v>
      </c>
      <c r="D291" s="97">
        <f t="shared" si="13"/>
        <v>400</v>
      </c>
      <c r="E291" s="97">
        <f t="shared" si="14"/>
        <v>0</v>
      </c>
      <c r="F291" s="97">
        <f t="shared" si="9"/>
        <v>1040000000</v>
      </c>
      <c r="G291" s="97"/>
      <c r="I291" t="s">
        <v>25</v>
      </c>
    </row>
    <row r="292" spans="1:10">
      <c r="A292" s="97" t="s">
        <v>4874</v>
      </c>
      <c r="B292" s="111">
        <v>-1170000</v>
      </c>
      <c r="C292" s="97">
        <v>0</v>
      </c>
      <c r="D292" s="97">
        <f t="shared" si="13"/>
        <v>398</v>
      </c>
      <c r="E292" s="97">
        <f t="shared" si="14"/>
        <v>0</v>
      </c>
      <c r="F292" s="97">
        <f t="shared" si="9"/>
        <v>-465660000</v>
      </c>
      <c r="G292" s="97" t="s">
        <v>4875</v>
      </c>
      <c r="J292" t="s">
        <v>25</v>
      </c>
    </row>
    <row r="293" spans="1:10">
      <c r="A293" s="97" t="s">
        <v>4874</v>
      </c>
      <c r="B293" s="111">
        <v>-9000</v>
      </c>
      <c r="C293" s="97">
        <v>1</v>
      </c>
      <c r="D293" s="97">
        <f t="shared" si="13"/>
        <v>398</v>
      </c>
      <c r="E293" s="97">
        <f t="shared" si="14"/>
        <v>0</v>
      </c>
      <c r="F293" s="97">
        <f t="shared" si="9"/>
        <v>-3582000</v>
      </c>
      <c r="G293" s="97"/>
    </row>
    <row r="294" spans="1:10">
      <c r="A294" s="97" t="s">
        <v>4876</v>
      </c>
      <c r="B294" s="111">
        <v>-1145000</v>
      </c>
      <c r="C294" s="97">
        <v>0</v>
      </c>
      <c r="D294" s="97">
        <f t="shared" si="13"/>
        <v>397</v>
      </c>
      <c r="E294" s="97">
        <f t="shared" si="14"/>
        <v>0</v>
      </c>
      <c r="F294" s="97">
        <f t="shared" si="9"/>
        <v>-454565000</v>
      </c>
      <c r="G294" s="97" t="s">
        <v>4877</v>
      </c>
    </row>
    <row r="295" spans="1:10">
      <c r="A295" s="97" t="s">
        <v>4876</v>
      </c>
      <c r="B295" s="111">
        <v>-94549</v>
      </c>
      <c r="C295" s="97">
        <v>2</v>
      </c>
      <c r="D295" s="97">
        <f t="shared" si="13"/>
        <v>397</v>
      </c>
      <c r="E295" s="97">
        <f t="shared" si="14"/>
        <v>0</v>
      </c>
      <c r="F295" s="97">
        <f t="shared" si="9"/>
        <v>-37535953</v>
      </c>
      <c r="G295" s="97" t="s">
        <v>503</v>
      </c>
      <c r="J295" t="s">
        <v>25</v>
      </c>
    </row>
    <row r="296" spans="1:10">
      <c r="A296" s="97" t="s">
        <v>5023</v>
      </c>
      <c r="B296" s="111">
        <v>-3500</v>
      </c>
      <c r="C296" s="97">
        <v>1</v>
      </c>
      <c r="D296" s="97">
        <f t="shared" si="13"/>
        <v>395</v>
      </c>
      <c r="E296" s="97">
        <f t="shared" si="14"/>
        <v>0</v>
      </c>
      <c r="F296" s="97">
        <f t="shared" si="9"/>
        <v>-1382500</v>
      </c>
      <c r="G296" s="97"/>
      <c r="I296" s="112">
        <f>B422-735892</f>
        <v>3905707</v>
      </c>
    </row>
    <row r="297" spans="1:10">
      <c r="A297" s="97" t="s">
        <v>4884</v>
      </c>
      <c r="B297" s="111">
        <v>-44900</v>
      </c>
      <c r="C297" s="97">
        <v>0</v>
      </c>
      <c r="D297" s="97">
        <f t="shared" si="13"/>
        <v>394</v>
      </c>
      <c r="E297" s="97">
        <f t="shared" si="14"/>
        <v>0</v>
      </c>
      <c r="F297" s="97">
        <f t="shared" si="9"/>
        <v>-17690600</v>
      </c>
      <c r="G297" s="97"/>
    </row>
    <row r="298" spans="1:10">
      <c r="A298" s="97" t="s">
        <v>4884</v>
      </c>
      <c r="B298" s="111">
        <v>-50000</v>
      </c>
      <c r="C298" s="97">
        <v>10</v>
      </c>
      <c r="D298" s="97">
        <f t="shared" si="13"/>
        <v>394</v>
      </c>
      <c r="E298" s="97">
        <f t="shared" si="14"/>
        <v>0</v>
      </c>
      <c r="F298" s="97">
        <f t="shared" si="9"/>
        <v>-19700000</v>
      </c>
      <c r="G298" s="97" t="s">
        <v>503</v>
      </c>
    </row>
    <row r="299" spans="1:10">
      <c r="A299" s="97" t="s">
        <v>4899</v>
      </c>
      <c r="B299" s="111">
        <v>-19850</v>
      </c>
      <c r="C299" s="97">
        <v>1</v>
      </c>
      <c r="D299" s="97">
        <f t="shared" si="13"/>
        <v>384</v>
      </c>
      <c r="E299" s="97">
        <f t="shared" si="14"/>
        <v>0</v>
      </c>
      <c r="F299" s="97">
        <f t="shared" si="9"/>
        <v>-7622400</v>
      </c>
      <c r="G299" s="97"/>
    </row>
    <row r="300" spans="1:10">
      <c r="A300" s="97" t="s">
        <v>4900</v>
      </c>
      <c r="B300" s="111">
        <v>-39770</v>
      </c>
      <c r="C300" s="97">
        <v>6</v>
      </c>
      <c r="D300" s="97">
        <f t="shared" si="13"/>
        <v>383</v>
      </c>
      <c r="E300" s="97">
        <f t="shared" si="14"/>
        <v>0</v>
      </c>
      <c r="F300" s="97">
        <f t="shared" si="9"/>
        <v>-15231910</v>
      </c>
      <c r="G300" s="97"/>
    </row>
    <row r="301" spans="1:10">
      <c r="A301" s="97" t="s">
        <v>4914</v>
      </c>
      <c r="B301" s="111">
        <v>-40000</v>
      </c>
      <c r="C301" s="97">
        <v>71</v>
      </c>
      <c r="D301" s="97">
        <f t="shared" si="13"/>
        <v>377</v>
      </c>
      <c r="E301" s="97">
        <f t="shared" si="14"/>
        <v>1</v>
      </c>
      <c r="F301" s="97">
        <f t="shared" si="9"/>
        <v>-15040000</v>
      </c>
      <c r="G301" s="97"/>
    </row>
    <row r="302" spans="1:10">
      <c r="A302" s="97" t="s">
        <v>5012</v>
      </c>
      <c r="B302" s="111">
        <v>4000000</v>
      </c>
      <c r="C302" s="97">
        <v>1</v>
      </c>
      <c r="D302" s="97">
        <f t="shared" si="13"/>
        <v>306</v>
      </c>
      <c r="E302" s="97">
        <f t="shared" si="14"/>
        <v>0</v>
      </c>
      <c r="F302" s="97">
        <f t="shared" si="9"/>
        <v>1224000000</v>
      </c>
      <c r="G302" s="97"/>
    </row>
    <row r="303" spans="1:10">
      <c r="A303" s="97" t="s">
        <v>5016</v>
      </c>
      <c r="B303" s="111">
        <v>-123860</v>
      </c>
      <c r="C303" s="97">
        <v>1</v>
      </c>
      <c r="D303" s="97">
        <f t="shared" si="13"/>
        <v>305</v>
      </c>
      <c r="E303" s="97">
        <f t="shared" si="14"/>
        <v>0</v>
      </c>
      <c r="F303" s="97">
        <f t="shared" si="9"/>
        <v>-37777300</v>
      </c>
      <c r="G303" s="97"/>
    </row>
    <row r="304" spans="1:10">
      <c r="A304" s="97" t="s">
        <v>4983</v>
      </c>
      <c r="B304" s="111">
        <v>-1660000</v>
      </c>
      <c r="C304" s="97">
        <v>1</v>
      </c>
      <c r="D304" s="97">
        <f t="shared" si="13"/>
        <v>304</v>
      </c>
      <c r="E304" s="97">
        <f t="shared" si="14"/>
        <v>0</v>
      </c>
      <c r="F304" s="97">
        <f t="shared" si="9"/>
        <v>-504640000</v>
      </c>
      <c r="G304" s="97"/>
    </row>
    <row r="305" spans="1:11">
      <c r="A305" s="97" t="s">
        <v>5022</v>
      </c>
      <c r="B305" s="111">
        <v>-63857</v>
      </c>
      <c r="C305" s="97">
        <v>0</v>
      </c>
      <c r="D305" s="97">
        <f t="shared" si="13"/>
        <v>303</v>
      </c>
      <c r="E305" s="97">
        <f t="shared" si="14"/>
        <v>0</v>
      </c>
      <c r="F305" s="97">
        <f t="shared" si="9"/>
        <v>-19348671</v>
      </c>
      <c r="G305" s="97"/>
    </row>
    <row r="306" spans="1:11">
      <c r="A306" s="97" t="s">
        <v>5024</v>
      </c>
      <c r="B306" s="111">
        <v>-631</v>
      </c>
      <c r="C306" s="97">
        <v>2</v>
      </c>
      <c r="D306" s="97">
        <f t="shared" si="13"/>
        <v>303</v>
      </c>
      <c r="E306" s="97">
        <f t="shared" si="14"/>
        <v>0</v>
      </c>
      <c r="F306" s="97">
        <f t="shared" si="9"/>
        <v>-191193</v>
      </c>
      <c r="G306" s="97" t="s">
        <v>503</v>
      </c>
      <c r="J306" t="s">
        <v>25</v>
      </c>
    </row>
    <row r="307" spans="1:11">
      <c r="A307" s="97" t="s">
        <v>5028</v>
      </c>
      <c r="B307" s="111">
        <v>-248905</v>
      </c>
      <c r="C307" s="97">
        <v>2</v>
      </c>
      <c r="D307" s="97">
        <f t="shared" ref="D307:D318" si="15">D308+C307</f>
        <v>301</v>
      </c>
      <c r="E307" s="97">
        <f t="shared" ref="E307:E318" si="16">IF(B308&gt;0,1,0)</f>
        <v>0</v>
      </c>
      <c r="F307" s="97">
        <f t="shared" si="9"/>
        <v>-74920405</v>
      </c>
      <c r="G307" s="97"/>
    </row>
    <row r="308" spans="1:11">
      <c r="A308" s="97" t="s">
        <v>5026</v>
      </c>
      <c r="B308" s="111">
        <v>-200000</v>
      </c>
      <c r="C308" s="97">
        <v>0</v>
      </c>
      <c r="D308" s="97">
        <f t="shared" si="15"/>
        <v>299</v>
      </c>
      <c r="E308" s="97">
        <f t="shared" si="16"/>
        <v>0</v>
      </c>
      <c r="F308" s="97">
        <f t="shared" si="9"/>
        <v>-59800000</v>
      </c>
      <c r="G308" s="97"/>
    </row>
    <row r="309" spans="1:11">
      <c r="A309" s="97" t="s">
        <v>5026</v>
      </c>
      <c r="B309" s="111">
        <v>-200000</v>
      </c>
      <c r="C309" s="97">
        <v>3</v>
      </c>
      <c r="D309" s="97">
        <f t="shared" si="15"/>
        <v>299</v>
      </c>
      <c r="E309" s="97">
        <f t="shared" si="16"/>
        <v>0</v>
      </c>
      <c r="F309" s="97">
        <f t="shared" si="9"/>
        <v>-59800000</v>
      </c>
      <c r="G309" s="97"/>
    </row>
    <row r="310" spans="1:11">
      <c r="A310" s="97" t="s">
        <v>5033</v>
      </c>
      <c r="B310" s="111">
        <v>-832590</v>
      </c>
      <c r="C310" s="97">
        <v>0</v>
      </c>
      <c r="D310" s="97">
        <f t="shared" si="15"/>
        <v>296</v>
      </c>
      <c r="E310" s="97">
        <f t="shared" si="16"/>
        <v>0</v>
      </c>
      <c r="F310" s="97">
        <f t="shared" si="9"/>
        <v>-246446640</v>
      </c>
      <c r="G310" s="97"/>
    </row>
    <row r="311" spans="1:11">
      <c r="A311" s="97" t="s">
        <v>5033</v>
      </c>
      <c r="B311" s="111">
        <v>-29950</v>
      </c>
      <c r="C311" s="97">
        <v>1</v>
      </c>
      <c r="D311" s="97">
        <f t="shared" si="15"/>
        <v>296</v>
      </c>
      <c r="E311" s="97">
        <f t="shared" si="16"/>
        <v>0</v>
      </c>
      <c r="F311" s="97">
        <f t="shared" si="9"/>
        <v>-8865200</v>
      </c>
      <c r="G311" s="97"/>
      <c r="K311" t="s">
        <v>25</v>
      </c>
    </row>
    <row r="312" spans="1:11">
      <c r="A312" s="97" t="s">
        <v>5070</v>
      </c>
      <c r="B312" s="111">
        <v>-8500</v>
      </c>
      <c r="C312" s="97">
        <v>1</v>
      </c>
      <c r="D312" s="97">
        <f t="shared" si="15"/>
        <v>295</v>
      </c>
      <c r="E312" s="97">
        <f t="shared" si="16"/>
        <v>0</v>
      </c>
      <c r="F312" s="97">
        <f t="shared" si="9"/>
        <v>-2507500</v>
      </c>
      <c r="G312" s="97"/>
    </row>
    <row r="313" spans="1:11">
      <c r="A313" s="97" t="s">
        <v>5050</v>
      </c>
      <c r="B313" s="111">
        <v>-116300</v>
      </c>
      <c r="C313" s="97">
        <v>1</v>
      </c>
      <c r="D313" s="97">
        <f t="shared" si="15"/>
        <v>294</v>
      </c>
      <c r="E313" s="97">
        <f t="shared" si="16"/>
        <v>0</v>
      </c>
      <c r="F313" s="97">
        <f t="shared" si="9"/>
        <v>-34192200</v>
      </c>
      <c r="G313" s="97"/>
    </row>
    <row r="314" spans="1:11">
      <c r="A314" s="97" t="s">
        <v>5036</v>
      </c>
      <c r="B314" s="111">
        <v>-75500</v>
      </c>
      <c r="C314" s="97">
        <v>1</v>
      </c>
      <c r="D314" s="97">
        <f t="shared" si="15"/>
        <v>293</v>
      </c>
      <c r="E314" s="97">
        <f t="shared" si="16"/>
        <v>0</v>
      </c>
      <c r="F314" s="97">
        <f t="shared" ref="F314:F331" si="17">B314*(D314-E314)</f>
        <v>-22121500</v>
      </c>
      <c r="G314" s="97"/>
    </row>
    <row r="315" spans="1:11">
      <c r="A315" s="97" t="s">
        <v>5046</v>
      </c>
      <c r="B315" s="111">
        <v>-331250</v>
      </c>
      <c r="C315" s="97">
        <v>2</v>
      </c>
      <c r="D315" s="97">
        <f t="shared" si="15"/>
        <v>292</v>
      </c>
      <c r="E315" s="97">
        <f t="shared" si="16"/>
        <v>0</v>
      </c>
      <c r="F315" s="97">
        <f t="shared" si="17"/>
        <v>-96725000</v>
      </c>
      <c r="G315" s="97"/>
    </row>
    <row r="316" spans="1:11">
      <c r="A316" s="97" t="s">
        <v>5071</v>
      </c>
      <c r="B316" s="111">
        <v>-39000</v>
      </c>
      <c r="C316" s="97">
        <v>1</v>
      </c>
      <c r="D316" s="97">
        <f t="shared" si="15"/>
        <v>290</v>
      </c>
      <c r="E316" s="97">
        <f t="shared" si="16"/>
        <v>0</v>
      </c>
      <c r="F316" s="97">
        <f t="shared" si="17"/>
        <v>-11310000</v>
      </c>
      <c r="G316" s="97"/>
      <c r="I316" s="112"/>
    </row>
    <row r="317" spans="1:11">
      <c r="A317" s="97" t="s">
        <v>5048</v>
      </c>
      <c r="B317" s="111">
        <v>-44000</v>
      </c>
      <c r="C317" s="97">
        <v>3</v>
      </c>
      <c r="D317" s="97">
        <f t="shared" si="15"/>
        <v>289</v>
      </c>
      <c r="E317" s="97">
        <f t="shared" si="16"/>
        <v>0</v>
      </c>
      <c r="F317" s="97">
        <f t="shared" si="17"/>
        <v>-12716000</v>
      </c>
      <c r="G317" s="97"/>
      <c r="J317" t="s">
        <v>25</v>
      </c>
    </row>
    <row r="318" spans="1:11">
      <c r="A318" s="97" t="s">
        <v>4995</v>
      </c>
      <c r="B318" s="111">
        <v>-30476</v>
      </c>
      <c r="C318" s="97">
        <v>1</v>
      </c>
      <c r="D318" s="97">
        <f t="shared" si="15"/>
        <v>286</v>
      </c>
      <c r="E318" s="97">
        <f t="shared" si="16"/>
        <v>0</v>
      </c>
      <c r="F318" s="97">
        <f t="shared" si="17"/>
        <v>-8716136</v>
      </c>
      <c r="G318" s="97"/>
    </row>
    <row r="319" spans="1:11">
      <c r="A319" s="97" t="s">
        <v>5052</v>
      </c>
      <c r="B319" s="111">
        <v>-4000</v>
      </c>
      <c r="C319" s="97">
        <v>11</v>
      </c>
      <c r="D319" s="97">
        <f t="shared" ref="D319:D326" si="18">D320+C319</f>
        <v>285</v>
      </c>
      <c r="E319" s="97">
        <f t="shared" ref="E319:E326" si="19">IF(B320&gt;0,1,0)</f>
        <v>1</v>
      </c>
      <c r="F319" s="97">
        <f t="shared" si="17"/>
        <v>-1136000</v>
      </c>
      <c r="G319" s="97"/>
    </row>
    <row r="320" spans="1:11">
      <c r="A320" s="97" t="s">
        <v>5072</v>
      </c>
      <c r="B320" s="111">
        <v>6300000</v>
      </c>
      <c r="C320" s="97">
        <v>1</v>
      </c>
      <c r="D320" s="97">
        <f t="shared" si="18"/>
        <v>274</v>
      </c>
      <c r="E320" s="97">
        <f t="shared" si="19"/>
        <v>0</v>
      </c>
      <c r="F320" s="97">
        <f t="shared" si="17"/>
        <v>1726200000</v>
      </c>
      <c r="G320" s="97"/>
    </row>
    <row r="321" spans="1:9">
      <c r="A321" s="97" t="s">
        <v>5094</v>
      </c>
      <c r="B321" s="111">
        <v>-6000000</v>
      </c>
      <c r="C321" s="97">
        <v>2</v>
      </c>
      <c r="D321" s="97">
        <f t="shared" si="18"/>
        <v>273</v>
      </c>
      <c r="E321" s="97">
        <f t="shared" si="19"/>
        <v>0</v>
      </c>
      <c r="F321" s="97">
        <f t="shared" si="17"/>
        <v>-1638000000</v>
      </c>
      <c r="G321" s="97"/>
    </row>
    <row r="322" spans="1:9">
      <c r="A322" s="97" t="s">
        <v>5093</v>
      </c>
      <c r="B322" s="111">
        <v>-295000</v>
      </c>
      <c r="C322" s="97">
        <v>0</v>
      </c>
      <c r="D322" s="97">
        <f t="shared" si="18"/>
        <v>271</v>
      </c>
      <c r="E322" s="97">
        <f t="shared" si="19"/>
        <v>1</v>
      </c>
      <c r="F322" s="97">
        <f t="shared" si="17"/>
        <v>-79650000</v>
      </c>
      <c r="G322" s="97"/>
    </row>
    <row r="323" spans="1:9">
      <c r="A323" s="97" t="s">
        <v>5093</v>
      </c>
      <c r="B323" s="111">
        <v>483</v>
      </c>
      <c r="C323" s="97">
        <v>8</v>
      </c>
      <c r="D323" s="97">
        <f t="shared" si="18"/>
        <v>271</v>
      </c>
      <c r="E323" s="97">
        <f t="shared" si="19"/>
        <v>1</v>
      </c>
      <c r="F323" s="97">
        <f t="shared" si="17"/>
        <v>130410</v>
      </c>
      <c r="G323" s="97" t="s">
        <v>687</v>
      </c>
      <c r="I323" t="s">
        <v>25</v>
      </c>
    </row>
    <row r="324" spans="1:9">
      <c r="A324" s="97" t="s">
        <v>5111</v>
      </c>
      <c r="B324" s="111">
        <v>1700000</v>
      </c>
      <c r="C324" s="97">
        <v>0</v>
      </c>
      <c r="D324" s="97">
        <f t="shared" si="18"/>
        <v>263</v>
      </c>
      <c r="E324" s="97">
        <f t="shared" si="19"/>
        <v>0</v>
      </c>
      <c r="F324" s="97">
        <f t="shared" si="17"/>
        <v>447100000</v>
      </c>
      <c r="G324" s="97"/>
    </row>
    <row r="325" spans="1:9">
      <c r="A325" s="97" t="s">
        <v>5111</v>
      </c>
      <c r="B325" s="111">
        <v>-53000</v>
      </c>
      <c r="C325" s="97">
        <v>1</v>
      </c>
      <c r="D325" s="97">
        <f t="shared" si="18"/>
        <v>263</v>
      </c>
      <c r="E325" s="97">
        <f t="shared" si="19"/>
        <v>0</v>
      </c>
      <c r="F325" s="97">
        <f t="shared" si="17"/>
        <v>-13939000</v>
      </c>
      <c r="G325" s="97"/>
    </row>
    <row r="326" spans="1:9">
      <c r="A326" s="97" t="s">
        <v>5112</v>
      </c>
      <c r="B326" s="111">
        <v>-1300000</v>
      </c>
      <c r="C326" s="97">
        <v>0</v>
      </c>
      <c r="D326" s="97">
        <f t="shared" si="18"/>
        <v>262</v>
      </c>
      <c r="E326" s="97">
        <f t="shared" si="19"/>
        <v>0</v>
      </c>
      <c r="F326" s="97">
        <f t="shared" si="17"/>
        <v>-340600000</v>
      </c>
      <c r="G326" s="97"/>
      <c r="I326" t="s">
        <v>25</v>
      </c>
    </row>
    <row r="327" spans="1:9">
      <c r="A327" s="97" t="s">
        <v>5112</v>
      </c>
      <c r="B327" s="111">
        <v>-41500</v>
      </c>
      <c r="C327" s="97">
        <v>1</v>
      </c>
      <c r="D327" s="97">
        <f t="shared" ref="D327:D333" si="20">D328+C327</f>
        <v>262</v>
      </c>
      <c r="E327" s="97">
        <f t="shared" ref="E327:E333" si="21">IF(B328&gt;0,1,0)</f>
        <v>0</v>
      </c>
      <c r="F327" s="97">
        <f t="shared" si="17"/>
        <v>-10873000</v>
      </c>
      <c r="G327" s="97"/>
    </row>
    <row r="328" spans="1:9">
      <c r="A328" s="97" t="s">
        <v>5115</v>
      </c>
      <c r="B328" s="111">
        <v>-57700</v>
      </c>
      <c r="C328" s="97">
        <v>3</v>
      </c>
      <c r="D328" s="97">
        <f t="shared" si="20"/>
        <v>261</v>
      </c>
      <c r="E328" s="97">
        <f t="shared" si="21"/>
        <v>0</v>
      </c>
      <c r="F328" s="97">
        <f t="shared" si="17"/>
        <v>-15059700</v>
      </c>
      <c r="G328" s="97"/>
    </row>
    <row r="329" spans="1:9">
      <c r="A329" s="97" t="s">
        <v>5118</v>
      </c>
      <c r="B329" s="111">
        <v>-5600</v>
      </c>
      <c r="C329" s="97">
        <v>1</v>
      </c>
      <c r="D329" s="97">
        <f t="shared" si="20"/>
        <v>258</v>
      </c>
      <c r="E329" s="97">
        <f t="shared" si="21"/>
        <v>0</v>
      </c>
      <c r="F329" s="97">
        <f t="shared" si="17"/>
        <v>-1444800</v>
      </c>
      <c r="G329" s="97"/>
    </row>
    <row r="330" spans="1:9">
      <c r="A330" s="97" t="s">
        <v>5119</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5128</v>
      </c>
      <c r="B333" s="111">
        <v>-78508</v>
      </c>
      <c r="C333" s="97">
        <v>2</v>
      </c>
      <c r="D333" s="97">
        <f t="shared" si="20"/>
        <v>253</v>
      </c>
      <c r="E333" s="97">
        <f t="shared" si="21"/>
        <v>0</v>
      </c>
      <c r="F333" s="97">
        <f>B333*(D333-E333)</f>
        <v>-19862524</v>
      </c>
      <c r="G333" s="97"/>
    </row>
    <row r="334" spans="1:9">
      <c r="A334" s="97" t="s">
        <v>5129</v>
      </c>
      <c r="B334" s="111">
        <v>-2000</v>
      </c>
      <c r="C334" s="97">
        <v>4</v>
      </c>
      <c r="D334" s="97">
        <f t="shared" ref="D334:D352" si="22">D335+C334</f>
        <v>251</v>
      </c>
      <c r="E334" s="97">
        <f t="shared" ref="E334:E352" si="23">IF(B335&gt;0,1,0)</f>
        <v>1</v>
      </c>
      <c r="F334" s="97">
        <f t="shared" ref="F334:F352" si="24">B334*(D334-E334)</f>
        <v>-500000</v>
      </c>
      <c r="G334" s="97"/>
    </row>
    <row r="335" spans="1:9">
      <c r="A335" s="97" t="s">
        <v>5132</v>
      </c>
      <c r="B335" s="111">
        <v>2200472</v>
      </c>
      <c r="C335" s="97">
        <v>1</v>
      </c>
      <c r="D335" s="97">
        <f t="shared" si="22"/>
        <v>247</v>
      </c>
      <c r="E335" s="97">
        <f t="shared" si="23"/>
        <v>0</v>
      </c>
      <c r="F335" s="97">
        <f t="shared" si="24"/>
        <v>543516584</v>
      </c>
      <c r="G335" s="97"/>
      <c r="H335" t="s">
        <v>25</v>
      </c>
    </row>
    <row r="336" spans="1:9">
      <c r="A336" s="97" t="s">
        <v>5138</v>
      </c>
      <c r="B336" s="111">
        <v>-28000</v>
      </c>
      <c r="C336" s="97">
        <v>2</v>
      </c>
      <c r="D336" s="97">
        <f t="shared" si="22"/>
        <v>246</v>
      </c>
      <c r="E336" s="97">
        <f t="shared" si="23"/>
        <v>1</v>
      </c>
      <c r="F336" s="97">
        <f t="shared" si="24"/>
        <v>-6860000</v>
      </c>
      <c r="G336" s="97"/>
    </row>
    <row r="337" spans="1:13">
      <c r="A337" s="97" t="s">
        <v>5137</v>
      </c>
      <c r="B337" s="111">
        <v>2500000</v>
      </c>
      <c r="C337" s="97">
        <v>0</v>
      </c>
      <c r="D337" s="97">
        <f t="shared" si="22"/>
        <v>244</v>
      </c>
      <c r="E337" s="97">
        <f t="shared" si="23"/>
        <v>0</v>
      </c>
      <c r="F337" s="97">
        <f t="shared" si="24"/>
        <v>610000000</v>
      </c>
      <c r="G337" s="97"/>
    </row>
    <row r="338" spans="1:13">
      <c r="A338" s="97" t="s">
        <v>5137</v>
      </c>
      <c r="B338" s="111">
        <v>-407500</v>
      </c>
      <c r="C338" s="97">
        <v>2</v>
      </c>
      <c r="D338" s="97">
        <f t="shared" si="22"/>
        <v>244</v>
      </c>
      <c r="E338" s="97">
        <f t="shared" si="23"/>
        <v>0</v>
      </c>
      <c r="F338" s="97">
        <f t="shared" si="24"/>
        <v>-99430000</v>
      </c>
      <c r="G338" s="97"/>
    </row>
    <row r="339" spans="1:13">
      <c r="A339" s="97" t="s">
        <v>5139</v>
      </c>
      <c r="B339" s="111">
        <v>-3600</v>
      </c>
      <c r="C339" s="97">
        <v>1</v>
      </c>
      <c r="D339" s="97">
        <f t="shared" si="22"/>
        <v>242</v>
      </c>
      <c r="E339" s="97">
        <f t="shared" si="23"/>
        <v>0</v>
      </c>
      <c r="F339" s="97">
        <f t="shared" si="24"/>
        <v>-871200</v>
      </c>
      <c r="G339" s="97"/>
    </row>
    <row r="340" spans="1:13">
      <c r="A340" s="97" t="s">
        <v>5143</v>
      </c>
      <c r="B340" s="111">
        <v>-170094</v>
      </c>
      <c r="C340" s="97">
        <v>1</v>
      </c>
      <c r="D340" s="97">
        <f t="shared" si="22"/>
        <v>241</v>
      </c>
      <c r="E340" s="97">
        <f t="shared" si="23"/>
        <v>0</v>
      </c>
      <c r="F340" s="97">
        <f t="shared" si="24"/>
        <v>-40992654</v>
      </c>
      <c r="G340" s="97"/>
      <c r="J340" t="s">
        <v>25</v>
      </c>
    </row>
    <row r="341" spans="1:13">
      <c r="A341" s="97" t="s">
        <v>5140</v>
      </c>
      <c r="B341" s="111">
        <v>-51730</v>
      </c>
      <c r="C341" s="97">
        <v>1</v>
      </c>
      <c r="D341" s="97">
        <f t="shared" si="22"/>
        <v>240</v>
      </c>
      <c r="E341" s="97">
        <f t="shared" si="23"/>
        <v>0</v>
      </c>
      <c r="F341" s="97">
        <f t="shared" si="24"/>
        <v>-12415200</v>
      </c>
      <c r="G341" s="97"/>
    </row>
    <row r="342" spans="1:13">
      <c r="A342" s="97" t="s">
        <v>5144</v>
      </c>
      <c r="B342" s="111">
        <v>-200000</v>
      </c>
      <c r="C342" s="97">
        <v>2</v>
      </c>
      <c r="D342" s="97">
        <f t="shared" si="22"/>
        <v>239</v>
      </c>
      <c r="E342" s="97">
        <f t="shared" si="23"/>
        <v>0</v>
      </c>
      <c r="F342" s="97">
        <f t="shared" si="24"/>
        <v>-47800000</v>
      </c>
      <c r="G342" s="97"/>
    </row>
    <row r="343" spans="1:13">
      <c r="A343" s="97" t="s">
        <v>5110</v>
      </c>
      <c r="B343" s="111">
        <v>-3000000</v>
      </c>
      <c r="C343" s="97">
        <v>0</v>
      </c>
      <c r="D343" s="97">
        <f t="shared" si="22"/>
        <v>237</v>
      </c>
      <c r="E343" s="97">
        <f t="shared" si="23"/>
        <v>0</v>
      </c>
      <c r="F343" s="97">
        <f t="shared" si="24"/>
        <v>-711000000</v>
      </c>
      <c r="G343" s="97"/>
    </row>
    <row r="344" spans="1:13">
      <c r="A344" s="97" t="s">
        <v>5110</v>
      </c>
      <c r="B344" s="111">
        <v>-39726</v>
      </c>
      <c r="C344" s="97">
        <v>1</v>
      </c>
      <c r="D344" s="97">
        <f t="shared" si="22"/>
        <v>237</v>
      </c>
      <c r="E344" s="97">
        <f t="shared" si="23"/>
        <v>0</v>
      </c>
      <c r="F344" s="97">
        <f t="shared" si="24"/>
        <v>-9415062</v>
      </c>
      <c r="G344" s="97"/>
      <c r="M344" t="s">
        <v>25</v>
      </c>
    </row>
    <row r="345" spans="1:13">
      <c r="A345" s="97" t="s">
        <v>5146</v>
      </c>
      <c r="B345" s="111">
        <v>-566500</v>
      </c>
      <c r="C345" s="97">
        <v>1</v>
      </c>
      <c r="D345" s="97">
        <f t="shared" si="22"/>
        <v>236</v>
      </c>
      <c r="E345" s="97">
        <f t="shared" si="23"/>
        <v>0</v>
      </c>
      <c r="F345" s="97">
        <f t="shared" si="24"/>
        <v>-133694000</v>
      </c>
      <c r="G345" s="97"/>
      <c r="K345" t="s">
        <v>25</v>
      </c>
    </row>
    <row r="346" spans="1:13">
      <c r="A346" s="97" t="s">
        <v>5147</v>
      </c>
      <c r="B346" s="111">
        <v>-300000</v>
      </c>
      <c r="C346" s="97">
        <v>22</v>
      </c>
      <c r="D346" s="97">
        <f t="shared" si="22"/>
        <v>235</v>
      </c>
      <c r="E346" s="97">
        <f t="shared" si="23"/>
        <v>1</v>
      </c>
      <c r="F346" s="97">
        <f t="shared" si="24"/>
        <v>-70200000</v>
      </c>
      <c r="G346" s="97"/>
      <c r="J346" t="s">
        <v>25</v>
      </c>
    </row>
    <row r="347" spans="1:13">
      <c r="A347" s="97" t="s">
        <v>5167</v>
      </c>
      <c r="B347" s="111">
        <v>700000</v>
      </c>
      <c r="C347" s="97">
        <v>1</v>
      </c>
      <c r="D347" s="97">
        <f t="shared" si="22"/>
        <v>213</v>
      </c>
      <c r="E347" s="97">
        <f t="shared" si="23"/>
        <v>0</v>
      </c>
      <c r="F347" s="97">
        <f t="shared" si="24"/>
        <v>149100000</v>
      </c>
      <c r="G347" s="97"/>
    </row>
    <row r="348" spans="1:13">
      <c r="A348" s="97" t="s">
        <v>5170</v>
      </c>
      <c r="B348" s="111">
        <v>-101000</v>
      </c>
      <c r="C348" s="97">
        <v>1</v>
      </c>
      <c r="D348" s="97">
        <f t="shared" si="22"/>
        <v>212</v>
      </c>
      <c r="E348" s="97">
        <f t="shared" si="23"/>
        <v>0</v>
      </c>
      <c r="F348" s="97">
        <f t="shared" si="24"/>
        <v>-21412000</v>
      </c>
      <c r="G348" s="97"/>
    </row>
    <row r="349" spans="1:13">
      <c r="A349" s="97" t="s">
        <v>5170</v>
      </c>
      <c r="B349" s="111">
        <v>-57245</v>
      </c>
      <c r="C349" s="97">
        <v>1</v>
      </c>
      <c r="D349" s="97">
        <f t="shared" si="22"/>
        <v>211</v>
      </c>
      <c r="E349" s="97">
        <f t="shared" si="23"/>
        <v>0</v>
      </c>
      <c r="F349" s="97">
        <f t="shared" si="24"/>
        <v>-12078695</v>
      </c>
      <c r="G349" s="97"/>
    </row>
    <row r="350" spans="1:13">
      <c r="A350" s="97" t="s">
        <v>5172</v>
      </c>
      <c r="B350" s="111">
        <v>-398700</v>
      </c>
      <c r="C350" s="97">
        <v>2</v>
      </c>
      <c r="D350" s="97">
        <f t="shared" si="22"/>
        <v>210</v>
      </c>
      <c r="E350" s="97">
        <f t="shared" si="23"/>
        <v>0</v>
      </c>
      <c r="F350" s="97">
        <f t="shared" si="24"/>
        <v>-83727000</v>
      </c>
      <c r="G350" s="97"/>
    </row>
    <row r="351" spans="1:13">
      <c r="A351" s="97" t="s">
        <v>5171</v>
      </c>
      <c r="B351" s="111">
        <v>-87010</v>
      </c>
      <c r="C351" s="97">
        <v>5</v>
      </c>
      <c r="D351" s="97">
        <f t="shared" si="22"/>
        <v>208</v>
      </c>
      <c r="E351" s="97">
        <f t="shared" si="23"/>
        <v>0</v>
      </c>
      <c r="F351" s="97">
        <f t="shared" si="24"/>
        <v>-18098080</v>
      </c>
      <c r="G351" s="97"/>
    </row>
    <row r="352" spans="1:13">
      <c r="A352" s="97" t="s">
        <v>5201</v>
      </c>
      <c r="B352" s="111">
        <v>-50000</v>
      </c>
      <c r="C352" s="97">
        <v>28</v>
      </c>
      <c r="D352" s="97">
        <f t="shared" si="22"/>
        <v>203</v>
      </c>
      <c r="E352" s="97">
        <f t="shared" si="23"/>
        <v>1</v>
      </c>
      <c r="F352" s="97">
        <f t="shared" si="24"/>
        <v>-10100000</v>
      </c>
      <c r="G352" s="97"/>
    </row>
    <row r="353" spans="1:12">
      <c r="A353" s="97" t="s">
        <v>5200</v>
      </c>
      <c r="B353" s="111">
        <v>1200000</v>
      </c>
      <c r="C353" s="97">
        <v>0</v>
      </c>
      <c r="D353" s="97">
        <f t="shared" ref="D353:D365" si="25">D354+C353</f>
        <v>175</v>
      </c>
      <c r="E353" s="97">
        <f t="shared" ref="E353:E365" si="26">IF(B354&gt;0,1,0)</f>
        <v>0</v>
      </c>
      <c r="F353" s="97">
        <f t="shared" ref="F353:F365" si="27">B353*(D353-E353)</f>
        <v>210000000</v>
      </c>
      <c r="G353" s="97"/>
    </row>
    <row r="354" spans="1:12">
      <c r="A354" s="97" t="s">
        <v>5200</v>
      </c>
      <c r="B354" s="111">
        <v>-367300</v>
      </c>
      <c r="C354" s="97">
        <v>1</v>
      </c>
      <c r="D354" s="97">
        <f t="shared" si="25"/>
        <v>175</v>
      </c>
      <c r="E354" s="97">
        <f t="shared" si="26"/>
        <v>0</v>
      </c>
      <c r="F354" s="97">
        <f t="shared" si="27"/>
        <v>-64277500</v>
      </c>
      <c r="G354" s="97"/>
    </row>
    <row r="355" spans="1:12">
      <c r="A355" s="97" t="s">
        <v>5202</v>
      </c>
      <c r="B355" s="111">
        <v>-104894</v>
      </c>
      <c r="C355" s="97">
        <v>1</v>
      </c>
      <c r="D355" s="97">
        <f t="shared" si="25"/>
        <v>174</v>
      </c>
      <c r="E355" s="97">
        <f t="shared" si="26"/>
        <v>0</v>
      </c>
      <c r="F355" s="97">
        <f t="shared" si="27"/>
        <v>-18251556</v>
      </c>
      <c r="G355" s="97"/>
    </row>
    <row r="356" spans="1:12">
      <c r="A356" s="97" t="s">
        <v>5203</v>
      </c>
      <c r="B356" s="111">
        <v>-688700</v>
      </c>
      <c r="C356" s="97">
        <v>0</v>
      </c>
      <c r="D356" s="97">
        <f t="shared" si="25"/>
        <v>173</v>
      </c>
      <c r="E356" s="97">
        <f t="shared" si="26"/>
        <v>0</v>
      </c>
      <c r="F356" s="97">
        <f t="shared" si="27"/>
        <v>-119145100</v>
      </c>
      <c r="G356" s="97"/>
    </row>
    <row r="357" spans="1:12">
      <c r="A357" s="97" t="s">
        <v>5203</v>
      </c>
      <c r="B357" s="111">
        <v>-8321</v>
      </c>
      <c r="C357" s="97">
        <v>5</v>
      </c>
      <c r="D357" s="97">
        <f t="shared" si="25"/>
        <v>173</v>
      </c>
      <c r="E357" s="97">
        <f t="shared" si="26"/>
        <v>1</v>
      </c>
      <c r="F357" s="97">
        <f t="shared" si="27"/>
        <v>-1431212</v>
      </c>
      <c r="G357" s="97"/>
      <c r="J357" t="s">
        <v>25</v>
      </c>
    </row>
    <row r="358" spans="1:12">
      <c r="A358" s="97" t="s">
        <v>5213</v>
      </c>
      <c r="B358" s="111">
        <v>1000000</v>
      </c>
      <c r="C358" s="97">
        <v>0</v>
      </c>
      <c r="D358" s="97">
        <f t="shared" si="25"/>
        <v>168</v>
      </c>
      <c r="E358" s="97">
        <f t="shared" si="26"/>
        <v>0</v>
      </c>
      <c r="F358" s="97">
        <f t="shared" si="27"/>
        <v>168000000</v>
      </c>
      <c r="G358" s="97"/>
    </row>
    <row r="359" spans="1:12">
      <c r="A359" s="97" t="s">
        <v>5213</v>
      </c>
      <c r="B359" s="111">
        <v>-127644</v>
      </c>
      <c r="C359" s="97">
        <v>1</v>
      </c>
      <c r="D359" s="97">
        <f t="shared" si="25"/>
        <v>168</v>
      </c>
      <c r="E359" s="97">
        <f t="shared" si="26"/>
        <v>0</v>
      </c>
      <c r="F359" s="97">
        <f t="shared" si="27"/>
        <v>-21444192</v>
      </c>
      <c r="G359" s="97"/>
    </row>
    <row r="360" spans="1:12">
      <c r="A360" s="97" t="s">
        <v>5214</v>
      </c>
      <c r="B360" s="111">
        <v>-418000</v>
      </c>
      <c r="C360" s="97">
        <v>4</v>
      </c>
      <c r="D360" s="97">
        <f t="shared" si="25"/>
        <v>167</v>
      </c>
      <c r="E360" s="97">
        <f t="shared" si="26"/>
        <v>0</v>
      </c>
      <c r="F360" s="97">
        <f t="shared" si="27"/>
        <v>-69806000</v>
      </c>
      <c r="G360" s="97"/>
    </row>
    <row r="361" spans="1:12">
      <c r="A361" s="97" t="s">
        <v>5218</v>
      </c>
      <c r="B361" s="111">
        <v>-183136</v>
      </c>
      <c r="C361" s="97">
        <v>2</v>
      </c>
      <c r="D361" s="97">
        <f t="shared" si="25"/>
        <v>163</v>
      </c>
      <c r="E361" s="97">
        <f t="shared" si="26"/>
        <v>0</v>
      </c>
      <c r="F361" s="97">
        <f t="shared" si="27"/>
        <v>-29851168</v>
      </c>
      <c r="G361" s="97"/>
      <c r="L361" t="s">
        <v>25</v>
      </c>
    </row>
    <row r="362" spans="1:12">
      <c r="A362" s="97" t="s">
        <v>5239</v>
      </c>
      <c r="B362" s="111">
        <v>-18600</v>
      </c>
      <c r="C362" s="97">
        <v>2</v>
      </c>
      <c r="D362" s="97">
        <f t="shared" si="25"/>
        <v>161</v>
      </c>
      <c r="E362" s="97">
        <f t="shared" si="26"/>
        <v>0</v>
      </c>
      <c r="F362" s="97">
        <f t="shared" si="27"/>
        <v>-2994600</v>
      </c>
      <c r="G362" s="97"/>
    </row>
    <row r="363" spans="1:12">
      <c r="A363" s="97" t="s">
        <v>5224</v>
      </c>
      <c r="B363" s="111">
        <v>-90000</v>
      </c>
      <c r="C363" s="97">
        <v>1</v>
      </c>
      <c r="D363" s="97">
        <f t="shared" si="25"/>
        <v>159</v>
      </c>
      <c r="E363" s="97">
        <f t="shared" si="26"/>
        <v>0</v>
      </c>
      <c r="F363" s="97">
        <f t="shared" si="27"/>
        <v>-14310000</v>
      </c>
      <c r="G363" s="97"/>
    </row>
    <row r="364" spans="1:12">
      <c r="A364" s="97" t="s">
        <v>5225</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5228</v>
      </c>
      <c r="B368" s="111">
        <v>3500000</v>
      </c>
      <c r="C368" s="97">
        <v>3</v>
      </c>
      <c r="D368" s="97">
        <f t="shared" si="28"/>
        <v>156</v>
      </c>
      <c r="E368" s="97">
        <f t="shared" si="29"/>
        <v>0</v>
      </c>
      <c r="F368" s="97">
        <f t="shared" si="30"/>
        <v>546000000</v>
      </c>
      <c r="G368" s="97"/>
    </row>
    <row r="369" spans="1:11">
      <c r="A369" s="97" t="s">
        <v>5230</v>
      </c>
      <c r="B369" s="111">
        <v>-93800</v>
      </c>
      <c r="C369" s="97">
        <v>1</v>
      </c>
      <c r="D369" s="97">
        <f t="shared" si="28"/>
        <v>153</v>
      </c>
      <c r="E369" s="97">
        <f t="shared" si="29"/>
        <v>0</v>
      </c>
      <c r="F369" s="97">
        <f t="shared" si="30"/>
        <v>-14351400</v>
      </c>
      <c r="G369" s="97"/>
    </row>
    <row r="370" spans="1:11">
      <c r="A370" s="97" t="s">
        <v>5232</v>
      </c>
      <c r="B370" s="111">
        <v>-815500</v>
      </c>
      <c r="C370" s="97">
        <v>1</v>
      </c>
      <c r="D370" s="97">
        <f t="shared" si="28"/>
        <v>152</v>
      </c>
      <c r="E370" s="97">
        <f t="shared" si="29"/>
        <v>0</v>
      </c>
      <c r="F370" s="97">
        <f t="shared" si="30"/>
        <v>-123956000</v>
      </c>
      <c r="G370" s="97"/>
    </row>
    <row r="371" spans="1:11">
      <c r="A371" s="97" t="s">
        <v>5235</v>
      </c>
      <c r="B371" s="111">
        <v>-2096840</v>
      </c>
      <c r="C371" s="97">
        <v>0</v>
      </c>
      <c r="D371" s="97">
        <f t="shared" si="28"/>
        <v>151</v>
      </c>
      <c r="E371" s="97">
        <f t="shared" si="29"/>
        <v>1</v>
      </c>
      <c r="F371" s="97">
        <f t="shared" si="30"/>
        <v>-314526000</v>
      </c>
      <c r="G371" s="97"/>
    </row>
    <row r="372" spans="1:11">
      <c r="A372" s="97" t="s">
        <v>5235</v>
      </c>
      <c r="B372" s="111">
        <v>533</v>
      </c>
      <c r="C372" s="97">
        <v>1</v>
      </c>
      <c r="D372" s="97">
        <f t="shared" si="28"/>
        <v>151</v>
      </c>
      <c r="E372" s="97">
        <f t="shared" si="29"/>
        <v>1</v>
      </c>
      <c r="F372" s="97">
        <f t="shared" si="30"/>
        <v>79950</v>
      </c>
      <c r="G372" s="97"/>
      <c r="J372" t="s">
        <v>25</v>
      </c>
    </row>
    <row r="373" spans="1:11">
      <c r="A373" s="97" t="s">
        <v>5237</v>
      </c>
      <c r="B373" s="111">
        <v>4100000</v>
      </c>
      <c r="C373" s="97">
        <v>1</v>
      </c>
      <c r="D373" s="97">
        <f t="shared" si="28"/>
        <v>150</v>
      </c>
      <c r="E373" s="97">
        <f t="shared" si="29"/>
        <v>0</v>
      </c>
      <c r="F373" s="97">
        <f t="shared" si="30"/>
        <v>615000000</v>
      </c>
      <c r="G373" s="97"/>
    </row>
    <row r="374" spans="1:11">
      <c r="A374" s="97" t="s">
        <v>5240</v>
      </c>
      <c r="B374" s="111">
        <v>-3642549</v>
      </c>
      <c r="C374" s="97">
        <v>3</v>
      </c>
      <c r="D374" s="97">
        <f t="shared" si="28"/>
        <v>149</v>
      </c>
      <c r="E374" s="97">
        <f t="shared" si="29"/>
        <v>0</v>
      </c>
      <c r="F374" s="97">
        <f t="shared" si="30"/>
        <v>-542739801</v>
      </c>
      <c r="G374" s="97"/>
    </row>
    <row r="375" spans="1:11">
      <c r="A375" s="97" t="s">
        <v>5249</v>
      </c>
      <c r="B375" s="111">
        <v>-317091</v>
      </c>
      <c r="C375" s="97">
        <v>1</v>
      </c>
      <c r="D375" s="97">
        <f t="shared" si="28"/>
        <v>146</v>
      </c>
      <c r="E375" s="97">
        <f t="shared" si="29"/>
        <v>0</v>
      </c>
      <c r="F375" s="97">
        <f t="shared" si="30"/>
        <v>-46295286</v>
      </c>
      <c r="G375" s="97"/>
    </row>
    <row r="376" spans="1:11">
      <c r="A376" s="97" t="s">
        <v>5242</v>
      </c>
      <c r="B376" s="111">
        <v>-1600000</v>
      </c>
      <c r="C376" s="97">
        <v>1</v>
      </c>
      <c r="D376" s="97">
        <f t="shared" si="28"/>
        <v>145</v>
      </c>
      <c r="E376" s="97">
        <f t="shared" si="29"/>
        <v>0</v>
      </c>
      <c r="F376" s="97">
        <f t="shared" si="30"/>
        <v>-232000000</v>
      </c>
      <c r="G376" s="97"/>
    </row>
    <row r="377" spans="1:11">
      <c r="A377" s="97" t="s">
        <v>5244</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5318</v>
      </c>
      <c r="B379" s="111">
        <v>10000000</v>
      </c>
      <c r="C379" s="97">
        <v>0</v>
      </c>
      <c r="D379" s="97">
        <f t="shared" si="31"/>
        <v>121</v>
      </c>
      <c r="E379" s="97">
        <f t="shared" si="32"/>
        <v>0</v>
      </c>
      <c r="F379" s="97">
        <f t="shared" si="33"/>
        <v>1210000000</v>
      </c>
      <c r="G379" s="97"/>
    </row>
    <row r="380" spans="1:11">
      <c r="A380" s="97" t="s">
        <v>5318</v>
      </c>
      <c r="B380" s="111">
        <v>-3000000</v>
      </c>
      <c r="C380" s="97">
        <v>0</v>
      </c>
      <c r="D380" s="97">
        <f t="shared" si="31"/>
        <v>121</v>
      </c>
      <c r="E380" s="97">
        <f t="shared" si="32"/>
        <v>0</v>
      </c>
      <c r="F380" s="97">
        <f t="shared" si="33"/>
        <v>-363000000</v>
      </c>
      <c r="G380" s="97"/>
    </row>
    <row r="381" spans="1:11">
      <c r="A381" s="97" t="s">
        <v>5318</v>
      </c>
      <c r="B381" s="111">
        <v>-3971300</v>
      </c>
      <c r="C381" s="97">
        <v>7</v>
      </c>
      <c r="D381" s="97">
        <f t="shared" si="31"/>
        <v>121</v>
      </c>
      <c r="E381" s="97">
        <f t="shared" si="32"/>
        <v>0</v>
      </c>
      <c r="F381" s="97">
        <f t="shared" si="33"/>
        <v>-480527300</v>
      </c>
      <c r="G381" s="97"/>
    </row>
    <row r="382" spans="1:11">
      <c r="A382" s="97" t="s">
        <v>5332</v>
      </c>
      <c r="B382" s="111">
        <v>-2472422</v>
      </c>
      <c r="C382" s="97">
        <v>2</v>
      </c>
      <c r="D382" s="97">
        <f t="shared" si="31"/>
        <v>114</v>
      </c>
      <c r="E382" s="97">
        <f t="shared" si="32"/>
        <v>0</v>
      </c>
      <c r="F382" s="97">
        <f t="shared" si="33"/>
        <v>-281856108</v>
      </c>
      <c r="G382" s="97"/>
    </row>
    <row r="383" spans="1:11">
      <c r="A383" s="97" t="s">
        <v>5356</v>
      </c>
      <c r="B383" s="111">
        <v>-345000</v>
      </c>
      <c r="C383" s="97">
        <v>1</v>
      </c>
      <c r="D383" s="97">
        <f t="shared" si="31"/>
        <v>112</v>
      </c>
      <c r="E383" s="97">
        <f t="shared" si="32"/>
        <v>0</v>
      </c>
      <c r="F383" s="97">
        <f t="shared" si="33"/>
        <v>-38640000</v>
      </c>
      <c r="G383" s="97"/>
    </row>
    <row r="384" spans="1:11">
      <c r="A384" s="97" t="s">
        <v>5357</v>
      </c>
      <c r="B384" s="111">
        <v>-200000</v>
      </c>
      <c r="C384" s="97">
        <v>10</v>
      </c>
      <c r="D384" s="97">
        <f t="shared" si="31"/>
        <v>111</v>
      </c>
      <c r="E384" s="97">
        <f t="shared" si="32"/>
        <v>1</v>
      </c>
      <c r="F384" s="97">
        <f t="shared" si="33"/>
        <v>-22000000</v>
      </c>
      <c r="G384" s="97"/>
    </row>
    <row r="385" spans="1:10">
      <c r="A385" s="97" t="s">
        <v>5352</v>
      </c>
      <c r="B385" s="111">
        <v>800000</v>
      </c>
      <c r="C385" s="97">
        <v>0</v>
      </c>
      <c r="D385" s="97">
        <f t="shared" si="31"/>
        <v>101</v>
      </c>
      <c r="E385" s="97">
        <f t="shared" si="32"/>
        <v>0</v>
      </c>
      <c r="F385" s="97">
        <f t="shared" si="33"/>
        <v>80800000</v>
      </c>
      <c r="G385" s="97"/>
    </row>
    <row r="386" spans="1:10">
      <c r="A386" s="97" t="s">
        <v>5352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5358</v>
      </c>
      <c r="B389" s="111">
        <v>8000000</v>
      </c>
      <c r="C389" s="97">
        <v>1</v>
      </c>
      <c r="D389" s="97">
        <f t="shared" si="31"/>
        <v>99</v>
      </c>
      <c r="E389" s="97">
        <f t="shared" si="32"/>
        <v>0</v>
      </c>
      <c r="F389" s="97">
        <f t="shared" si="33"/>
        <v>792000000</v>
      </c>
      <c r="G389" s="97"/>
    </row>
    <row r="390" spans="1:10">
      <c r="A390" s="97" t="s">
        <v>5359</v>
      </c>
      <c r="B390" s="111">
        <v>-10000</v>
      </c>
      <c r="C390" s="97">
        <v>1</v>
      </c>
      <c r="D390" s="97">
        <f t="shared" si="31"/>
        <v>98</v>
      </c>
      <c r="E390" s="97">
        <f t="shared" si="32"/>
        <v>0</v>
      </c>
      <c r="F390" s="97">
        <f t="shared" si="33"/>
        <v>-980000</v>
      </c>
      <c r="G390" s="97"/>
    </row>
    <row r="391" spans="1:10">
      <c r="A391" s="97" t="s">
        <v>5360</v>
      </c>
      <c r="B391" s="111">
        <v>-88000</v>
      </c>
      <c r="C391" s="97">
        <v>1</v>
      </c>
      <c r="D391" s="97">
        <f t="shared" si="31"/>
        <v>97</v>
      </c>
      <c r="E391" s="97">
        <f t="shared" si="32"/>
        <v>0</v>
      </c>
      <c r="F391" s="97">
        <f t="shared" si="33"/>
        <v>-8536000</v>
      </c>
      <c r="G391" s="97"/>
    </row>
    <row r="392" spans="1:10">
      <c r="A392" s="97" t="s">
        <v>5361</v>
      </c>
      <c r="B392" s="111">
        <v>-297675</v>
      </c>
      <c r="C392" s="97">
        <v>3</v>
      </c>
      <c r="D392" s="97">
        <f t="shared" si="31"/>
        <v>96</v>
      </c>
      <c r="E392" s="97">
        <f t="shared" si="32"/>
        <v>0</v>
      </c>
      <c r="F392" s="97">
        <f t="shared" si="33"/>
        <v>-28576800</v>
      </c>
      <c r="G392" s="97"/>
    </row>
    <row r="393" spans="1:10">
      <c r="A393" s="97" t="s">
        <v>5353</v>
      </c>
      <c r="B393" s="111">
        <v>-10114121</v>
      </c>
      <c r="C393" s="97">
        <v>1</v>
      </c>
      <c r="D393" s="97">
        <f t="shared" si="31"/>
        <v>93</v>
      </c>
      <c r="E393" s="97">
        <f t="shared" si="32"/>
        <v>0</v>
      </c>
      <c r="F393" s="97">
        <f t="shared" si="33"/>
        <v>-940613253</v>
      </c>
      <c r="G393" s="97"/>
    </row>
    <row r="394" spans="1:10">
      <c r="A394" s="97" t="s">
        <v>5354</v>
      </c>
      <c r="B394" s="111">
        <v>-9000000</v>
      </c>
      <c r="C394" s="97">
        <v>1</v>
      </c>
      <c r="D394" s="97">
        <f t="shared" si="31"/>
        <v>92</v>
      </c>
      <c r="E394" s="97">
        <f t="shared" si="32"/>
        <v>0</v>
      </c>
      <c r="F394" s="97">
        <f t="shared" si="33"/>
        <v>-828000000</v>
      </c>
      <c r="G394" s="97"/>
      <c r="J394" s="112">
        <f>B422-743653+21500</f>
        <v>3919446</v>
      </c>
    </row>
    <row r="395" spans="1:10">
      <c r="A395" s="97" t="s">
        <v>5362</v>
      </c>
      <c r="B395" s="111">
        <v>-83930</v>
      </c>
      <c r="C395" s="97">
        <v>1</v>
      </c>
      <c r="D395" s="97">
        <f t="shared" si="31"/>
        <v>91</v>
      </c>
      <c r="E395" s="97">
        <f t="shared" si="32"/>
        <v>0</v>
      </c>
      <c r="F395" s="97">
        <f t="shared" si="33"/>
        <v>-7637630</v>
      </c>
      <c r="G395" s="97"/>
    </row>
    <row r="396" spans="1:10">
      <c r="A396" s="97" t="s">
        <v>5363</v>
      </c>
      <c r="B396" s="111">
        <v>-19520</v>
      </c>
      <c r="C396" s="97">
        <v>0</v>
      </c>
      <c r="D396" s="97">
        <f t="shared" si="31"/>
        <v>90</v>
      </c>
      <c r="E396" s="97">
        <f t="shared" si="32"/>
        <v>0</v>
      </c>
      <c r="F396" s="97">
        <f t="shared" si="33"/>
        <v>-1756800</v>
      </c>
      <c r="G396" s="97"/>
    </row>
    <row r="397" spans="1:10">
      <c r="A397" s="97" t="s">
        <v>5363</v>
      </c>
      <c r="B397" s="111">
        <v>-676034</v>
      </c>
      <c r="C397" s="97">
        <v>27</v>
      </c>
      <c r="D397" s="97">
        <f t="shared" si="31"/>
        <v>90</v>
      </c>
      <c r="E397" s="97">
        <f t="shared" si="32"/>
        <v>1</v>
      </c>
      <c r="F397" s="97">
        <f t="shared" si="33"/>
        <v>-60167026</v>
      </c>
      <c r="G397" s="97"/>
    </row>
    <row r="398" spans="1:10">
      <c r="A398" s="97" t="s">
        <v>5391</v>
      </c>
      <c r="B398" s="111">
        <v>2200000</v>
      </c>
      <c r="C398" s="97">
        <v>2</v>
      </c>
      <c r="D398" s="97">
        <f t="shared" si="31"/>
        <v>63</v>
      </c>
      <c r="E398" s="97">
        <f t="shared" si="32"/>
        <v>0</v>
      </c>
      <c r="F398" s="97">
        <f t="shared" si="33"/>
        <v>138600000</v>
      </c>
      <c r="G398" s="97"/>
    </row>
    <row r="399" spans="1:10">
      <c r="A399" s="97" t="s">
        <v>5396</v>
      </c>
      <c r="B399" s="111">
        <v>-2000000</v>
      </c>
      <c r="C399" s="97">
        <v>1</v>
      </c>
      <c r="D399" s="97">
        <f t="shared" si="31"/>
        <v>61</v>
      </c>
      <c r="E399" s="97">
        <f t="shared" si="32"/>
        <v>0</v>
      </c>
      <c r="F399" s="97">
        <f t="shared" si="33"/>
        <v>-122000000</v>
      </c>
      <c r="G399" s="97"/>
    </row>
    <row r="400" spans="1:10">
      <c r="A400" s="97" t="s">
        <v>5397</v>
      </c>
      <c r="B400" s="111">
        <v>-28400</v>
      </c>
      <c r="C400" s="97">
        <v>1</v>
      </c>
      <c r="D400" s="97">
        <f t="shared" si="31"/>
        <v>60</v>
      </c>
      <c r="E400" s="97">
        <f t="shared" si="32"/>
        <v>0</v>
      </c>
      <c r="F400" s="97">
        <f t="shared" si="33"/>
        <v>-1704000</v>
      </c>
      <c r="G400" s="97"/>
    </row>
    <row r="401" spans="1:15">
      <c r="A401" s="97" t="s">
        <v>5399</v>
      </c>
      <c r="B401" s="111">
        <v>-126475</v>
      </c>
      <c r="C401" s="97">
        <v>1</v>
      </c>
      <c r="D401" s="97">
        <f t="shared" si="31"/>
        <v>59</v>
      </c>
      <c r="E401" s="97">
        <f t="shared" si="32"/>
        <v>0</v>
      </c>
      <c r="F401" s="97">
        <f t="shared" si="33"/>
        <v>-7462025</v>
      </c>
      <c r="G401" s="97"/>
    </row>
    <row r="402" spans="1:15">
      <c r="A402" s="97" t="s">
        <v>5398</v>
      </c>
      <c r="B402" s="111">
        <v>-32807</v>
      </c>
      <c r="C402" s="97">
        <v>4</v>
      </c>
      <c r="D402" s="97">
        <f t="shared" si="31"/>
        <v>58</v>
      </c>
      <c r="E402" s="97">
        <f t="shared" si="32"/>
        <v>0</v>
      </c>
      <c r="F402" s="97">
        <f t="shared" si="33"/>
        <v>-1902806</v>
      </c>
      <c r="G402" s="97"/>
    </row>
    <row r="403" spans="1:15">
      <c r="A403" s="97" t="s">
        <v>5402</v>
      </c>
      <c r="B403" s="111">
        <v>-11700</v>
      </c>
      <c r="C403" s="97">
        <v>7</v>
      </c>
      <c r="D403" s="97">
        <f t="shared" si="31"/>
        <v>54</v>
      </c>
      <c r="E403" s="97">
        <f t="shared" si="32"/>
        <v>1</v>
      </c>
      <c r="F403" s="97">
        <f t="shared" si="33"/>
        <v>-620100</v>
      </c>
      <c r="G403" s="97"/>
    </row>
    <row r="404" spans="1:15">
      <c r="A404" s="97" t="s">
        <v>5411</v>
      </c>
      <c r="B404" s="111">
        <v>5032773</v>
      </c>
      <c r="C404" s="97">
        <v>0</v>
      </c>
      <c r="D404" s="97">
        <f t="shared" si="31"/>
        <v>47</v>
      </c>
      <c r="E404" s="97">
        <f t="shared" si="32"/>
        <v>0</v>
      </c>
      <c r="F404" s="97">
        <f t="shared" si="33"/>
        <v>236540331</v>
      </c>
      <c r="G404" s="97"/>
    </row>
    <row r="405" spans="1:15">
      <c r="A405" s="97" t="s">
        <v>5411</v>
      </c>
      <c r="B405" s="111">
        <v>-5000000</v>
      </c>
      <c r="C405" s="97">
        <v>13</v>
      </c>
      <c r="D405" s="97">
        <f t="shared" si="31"/>
        <v>47</v>
      </c>
      <c r="E405" s="97">
        <f t="shared" si="32"/>
        <v>1</v>
      </c>
      <c r="F405" s="97">
        <f t="shared" si="33"/>
        <v>-230000000</v>
      </c>
      <c r="G405" s="97"/>
    </row>
    <row r="406" spans="1:15">
      <c r="A406" s="97" t="s">
        <v>5441</v>
      </c>
      <c r="B406" s="111">
        <v>1200000</v>
      </c>
      <c r="C406" s="97">
        <v>1</v>
      </c>
      <c r="D406" s="97">
        <f t="shared" si="31"/>
        <v>34</v>
      </c>
      <c r="E406" s="97">
        <f t="shared" si="32"/>
        <v>0</v>
      </c>
      <c r="F406" s="97">
        <f t="shared" si="33"/>
        <v>40800000</v>
      </c>
      <c r="G406" s="97"/>
    </row>
    <row r="407" spans="1:15">
      <c r="A407" s="97" t="s">
        <v>5426</v>
      </c>
      <c r="B407" s="111">
        <v>-1200000</v>
      </c>
      <c r="C407" s="97">
        <v>0</v>
      </c>
      <c r="D407" s="97">
        <f t="shared" si="31"/>
        <v>33</v>
      </c>
      <c r="E407" s="97">
        <f t="shared" si="32"/>
        <v>0</v>
      </c>
      <c r="F407" s="97">
        <f t="shared" si="33"/>
        <v>-39600000</v>
      </c>
      <c r="G407" s="97"/>
      <c r="O407" t="s">
        <v>25</v>
      </c>
    </row>
    <row r="408" spans="1:15">
      <c r="A408" s="97" t="s">
        <v>5426</v>
      </c>
      <c r="B408" s="111">
        <v>-784</v>
      </c>
      <c r="C408" s="97">
        <v>1</v>
      </c>
      <c r="D408" s="97">
        <f t="shared" si="31"/>
        <v>33</v>
      </c>
      <c r="E408" s="97">
        <f t="shared" si="32"/>
        <v>0</v>
      </c>
      <c r="F408" s="97">
        <f t="shared" si="33"/>
        <v>-25872</v>
      </c>
      <c r="G408" s="97" t="s">
        <v>5442</v>
      </c>
    </row>
    <row r="409" spans="1:15">
      <c r="A409" s="97" t="s">
        <v>5475</v>
      </c>
      <c r="B409" s="111">
        <v>-37927</v>
      </c>
      <c r="C409" s="97">
        <v>30</v>
      </c>
      <c r="D409" s="97">
        <f t="shared" si="31"/>
        <v>32</v>
      </c>
      <c r="E409" s="97">
        <f t="shared" si="32"/>
        <v>1</v>
      </c>
      <c r="F409" s="97">
        <f t="shared" si="33"/>
        <v>-1175737</v>
      </c>
      <c r="G409" s="97"/>
    </row>
    <row r="410" spans="1:15">
      <c r="A410" s="97" t="s">
        <v>5477</v>
      </c>
      <c r="B410" s="111">
        <v>5000000</v>
      </c>
      <c r="C410" s="97">
        <v>0</v>
      </c>
      <c r="D410" s="97">
        <f t="shared" si="31"/>
        <v>2</v>
      </c>
      <c r="E410" s="97">
        <f t="shared" si="32"/>
        <v>0</v>
      </c>
      <c r="F410" s="97">
        <f t="shared" si="33"/>
        <v>10000000</v>
      </c>
      <c r="G410" s="97"/>
    </row>
    <row r="411" spans="1:15">
      <c r="A411" s="97" t="s">
        <v>5477</v>
      </c>
      <c r="B411" s="111">
        <v>-1620700</v>
      </c>
      <c r="C411" s="97">
        <v>1</v>
      </c>
      <c r="D411" s="97">
        <f t="shared" si="31"/>
        <v>2</v>
      </c>
      <c r="E411" s="97">
        <f t="shared" si="32"/>
        <v>1</v>
      </c>
      <c r="F411" s="97">
        <f t="shared" si="33"/>
        <v>-1620700</v>
      </c>
      <c r="G411" s="97"/>
    </row>
    <row r="412" spans="1:15">
      <c r="A412" s="97" t="s">
        <v>5479</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N1" zoomScaleNormal="100" workbookViewId="0">
      <pane ySplit="1" topLeftCell="A2" activePane="bottomLeft" state="frozen"/>
      <selection pane="bottomLeft" activeCell="R18" sqref="R18"/>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4654</v>
      </c>
      <c r="L15">
        <v>451474</v>
      </c>
      <c r="M15" s="225" t="s">
        <v>4796</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5743</v>
      </c>
      <c r="O19" t="s">
        <v>6900</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6846</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4997</v>
      </c>
      <c r="L33" t="s">
        <v>4998</v>
      </c>
      <c r="M33" t="s">
        <v>4999</v>
      </c>
      <c r="N33" t="s">
        <v>5000</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5002</v>
      </c>
      <c r="M34" t="s">
        <v>5003</v>
      </c>
      <c r="N34" t="s">
        <v>5001</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4752</v>
      </c>
      <c r="B193" s="38">
        <v>-25000</v>
      </c>
      <c r="C193" s="11" t="s">
        <v>4759</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600"/>
  <sheetViews>
    <sheetView topLeftCell="I18" zoomScale="85" zoomScaleNormal="85" workbookViewId="0">
      <selection activeCell="L46" sqref="L46"/>
    </sheetView>
  </sheetViews>
  <sheetFormatPr defaultRowHeight="15"/>
  <cols>
    <col min="1" max="1" width="5" bestFit="1" customWidth="1"/>
    <col min="2" max="2" width="3" bestFit="1" customWidth="1"/>
    <col min="3" max="3" width="16.140625" bestFit="1" customWidth="1"/>
    <col min="4" max="4" width="21.5703125" bestFit="1" customWidth="1"/>
    <col min="5" max="5" width="17.140625" bestFit="1" customWidth="1"/>
    <col min="6" max="6" width="27.28515625" customWidth="1"/>
    <col min="7" max="7" width="19.42578125" bestFit="1" customWidth="1"/>
    <col min="8" max="8" width="39.7109375" customWidth="1"/>
    <col min="9" max="9" width="33" bestFit="1" customWidth="1"/>
    <col min="10" max="10" width="40.7109375" customWidth="1"/>
    <col min="11" max="11" width="39.5703125" customWidth="1"/>
    <col min="12" max="12" width="20" bestFit="1" customWidth="1"/>
    <col min="13" max="13" width="46.28515625" bestFit="1" customWidth="1"/>
    <col min="14" max="14" width="20.7109375" bestFit="1" customWidth="1"/>
    <col min="15" max="15" width="16.28515625" customWidth="1"/>
    <col min="16" max="16" width="28" bestFit="1" customWidth="1"/>
    <col min="17" max="17" width="10.7109375" style="389"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6.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4990</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O18" t="s">
        <v>25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18" customHeight="1">
      <c r="A19" s="58">
        <v>97</v>
      </c>
      <c r="B19" s="11">
        <v>17</v>
      </c>
      <c r="C19" s="47">
        <f t="shared" si="4"/>
        <v>3798204.6365</v>
      </c>
      <c r="D19" s="3">
        <f t="shared" si="5"/>
        <v>3085390.8896499998</v>
      </c>
      <c r="E19" s="3">
        <f>E18*$L$2+C19-D19</f>
        <v>105241088.58223</v>
      </c>
      <c r="F19" s="3">
        <v>101300000</v>
      </c>
      <c r="G19" s="29">
        <f t="shared" si="0"/>
        <v>3941088.5822300017</v>
      </c>
      <c r="H19" s="36" t="s">
        <v>4117</v>
      </c>
      <c r="K19" s="205"/>
      <c r="L19" s="115"/>
      <c r="M19" s="205"/>
      <c r="N19" s="111"/>
      <c r="O19" s="428"/>
      <c r="P19" s="112"/>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21.75" customHeight="1">
      <c r="A20" s="58">
        <v>97</v>
      </c>
      <c r="B20" s="11">
        <v>18</v>
      </c>
      <c r="C20" s="47">
        <f t="shared" si="4"/>
        <v>3836186.6828649999</v>
      </c>
      <c r="D20" s="3">
        <f t="shared" si="5"/>
        <v>3116244.7985465</v>
      </c>
      <c r="E20" s="3">
        <f>E19*$L$2+C20-D20</f>
        <v>108065852.23819311</v>
      </c>
      <c r="F20" s="3">
        <v>95200000</v>
      </c>
      <c r="G20" s="29">
        <f t="shared" si="0"/>
        <v>12865852.23819311</v>
      </c>
      <c r="H20" s="36" t="s">
        <v>4118</v>
      </c>
      <c r="K20" s="205"/>
      <c r="L20" s="115"/>
      <c r="M20" s="205" t="s">
        <v>6867</v>
      </c>
      <c r="N20" s="111">
        <v>7907</v>
      </c>
      <c r="O20" s="97"/>
      <c r="P20" s="93"/>
      <c r="R20" s="167">
        <v>9268987</v>
      </c>
      <c r="S20" s="166" t="s">
        <v>4149</v>
      </c>
      <c r="T20" s="189">
        <f>T115</f>
        <v>1266</v>
      </c>
      <c r="U20" s="166" t="s">
        <v>4280</v>
      </c>
      <c r="V20" s="166">
        <v>192.1</v>
      </c>
      <c r="W20" s="166">
        <f t="shared" ref="W20:W51" si="6">V20*(1+$S$111+$R$15*T20/36500)</f>
        <v>381.58322958904108</v>
      </c>
      <c r="X20" s="32">
        <f t="shared" ref="X20:X26" si="7">W20*(1+$X$19/100)</f>
        <v>389.21489418082189</v>
      </c>
      <c r="Y20" s="32">
        <f t="shared" ref="Y20:Y26" si="8">W20*(1+$Y$19/100)</f>
        <v>396.84655877260275</v>
      </c>
      <c r="Z20" s="113">
        <v>48028</v>
      </c>
      <c r="AA20" s="113"/>
      <c r="AI20" s="97">
        <v>1</v>
      </c>
      <c r="AJ20" s="111" t="s">
        <v>1090</v>
      </c>
      <c r="AK20" s="111">
        <v>18000000</v>
      </c>
      <c r="AL20" s="97">
        <v>1</v>
      </c>
      <c r="AM20" s="97">
        <f>AM21+AL20</f>
        <v>1305</v>
      </c>
      <c r="AN20" s="111">
        <f>AK20*AM20</f>
        <v>23490000000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5"/>
      <c r="L21" s="115"/>
      <c r="M21" s="205" t="s">
        <v>6868</v>
      </c>
      <c r="N21" s="111">
        <f>O21*P21</f>
        <v>446378301</v>
      </c>
      <c r="O21" s="97">
        <v>353427</v>
      </c>
      <c r="P21" s="93">
        <f>P48</f>
        <v>1263</v>
      </c>
      <c r="R21" s="167">
        <v>1353959</v>
      </c>
      <c r="S21" s="166" t="s">
        <v>4388</v>
      </c>
      <c r="T21" s="194">
        <f>T20-59</f>
        <v>1207</v>
      </c>
      <c r="U21" s="19" t="s">
        <v>4422</v>
      </c>
      <c r="V21" s="166">
        <v>192.2</v>
      </c>
      <c r="W21" s="166">
        <f t="shared" si="6"/>
        <v>373.08284273972606</v>
      </c>
      <c r="X21" s="32">
        <f t="shared" si="7"/>
        <v>380.54449959452057</v>
      </c>
      <c r="Y21" s="32">
        <f t="shared" si="8"/>
        <v>388.00615644931514</v>
      </c>
      <c r="Z21" s="113">
        <v>7012</v>
      </c>
      <c r="AA21" s="113"/>
      <c r="AI21" s="97">
        <v>2</v>
      </c>
      <c r="AJ21" s="111" t="s">
        <v>1092</v>
      </c>
      <c r="AK21" s="111">
        <v>2500000</v>
      </c>
      <c r="AL21" s="97">
        <v>1</v>
      </c>
      <c r="AM21" s="97">
        <f t="shared" ref="AM21:AM63" si="9">AM22+AL21</f>
        <v>1304</v>
      </c>
      <c r="AN21" s="111">
        <f t="shared" ref="AN21:AN120" si="10">AK21*AM21</f>
        <v>3260000000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1">E21*$L$2+C22-D22</f>
        <v>267974412.71619329</v>
      </c>
      <c r="F22" s="3">
        <v>240000000</v>
      </c>
      <c r="G22" s="93">
        <f t="shared" si="0"/>
        <v>27974412.716193289</v>
      </c>
      <c r="H22" s="11"/>
      <c r="I22" s="94"/>
      <c r="J22" s="94"/>
      <c r="K22" s="205"/>
      <c r="L22" s="115"/>
      <c r="M22" s="205" t="s">
        <v>6869</v>
      </c>
      <c r="N22" s="111">
        <f>O22*P22</f>
        <v>11182968</v>
      </c>
      <c r="O22" s="97">
        <v>27012</v>
      </c>
      <c r="P22" s="93">
        <f>P49</f>
        <v>414</v>
      </c>
      <c r="R22" s="167">
        <v>1614398</v>
      </c>
      <c r="S22" s="166" t="s">
        <v>4394</v>
      </c>
      <c r="T22" s="166">
        <f>T21-3</f>
        <v>1204</v>
      </c>
      <c r="U22" s="19" t="s">
        <v>5590</v>
      </c>
      <c r="V22" s="166">
        <v>184.6</v>
      </c>
      <c r="W22" s="166">
        <f t="shared" si="6"/>
        <v>357.90551452054791</v>
      </c>
      <c r="X22" s="32">
        <f t="shared" si="7"/>
        <v>365.06362481095886</v>
      </c>
      <c r="Y22" s="32">
        <f t="shared" si="8"/>
        <v>372.22173510136986</v>
      </c>
      <c r="Z22" s="113">
        <v>8705</v>
      </c>
      <c r="AA22" s="113"/>
      <c r="AI22" s="97">
        <v>3</v>
      </c>
      <c r="AJ22" s="111" t="s">
        <v>1101</v>
      </c>
      <c r="AK22" s="111">
        <v>8000000</v>
      </c>
      <c r="AL22" s="97">
        <v>1</v>
      </c>
      <c r="AM22" s="97">
        <f t="shared" si="9"/>
        <v>1303</v>
      </c>
      <c r="AN22" s="111">
        <f t="shared" si="10"/>
        <v>10424000000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1"/>
        <v>274075657.8138724</v>
      </c>
      <c r="F23" s="3">
        <v>242000000</v>
      </c>
      <c r="G23" s="29">
        <f t="shared" si="0"/>
        <v>32075657.813872397</v>
      </c>
      <c r="H23" s="11" t="s">
        <v>25</v>
      </c>
      <c r="I23" s="94"/>
      <c r="J23" s="94"/>
      <c r="K23" s="166"/>
      <c r="L23" s="115"/>
      <c r="M23" s="166"/>
      <c r="N23" s="111"/>
      <c r="O23" s="112"/>
      <c r="P23" s="94"/>
      <c r="R23" s="167">
        <v>133576</v>
      </c>
      <c r="S23" s="166" t="s">
        <v>4459</v>
      </c>
      <c r="T23" s="193">
        <f>T22-22</f>
        <v>1182</v>
      </c>
      <c r="U23" s="166" t="s">
        <v>4460</v>
      </c>
      <c r="V23" s="166">
        <v>166.2</v>
      </c>
      <c r="W23" s="166">
        <f t="shared" si="6"/>
        <v>319.42638246575342</v>
      </c>
      <c r="X23" s="32">
        <f t="shared" si="7"/>
        <v>325.81491011506847</v>
      </c>
      <c r="Y23" s="32">
        <f t="shared" si="8"/>
        <v>332.20343776438358</v>
      </c>
      <c r="Z23" s="120">
        <v>800</v>
      </c>
      <c r="AA23" s="94"/>
      <c r="AI23" s="97">
        <v>4</v>
      </c>
      <c r="AJ23" s="111" t="s">
        <v>4036</v>
      </c>
      <c r="AK23" s="111">
        <v>-79552</v>
      </c>
      <c r="AL23" s="97">
        <v>1</v>
      </c>
      <c r="AM23" s="97">
        <f t="shared" si="9"/>
        <v>1302</v>
      </c>
      <c r="AN23" s="111">
        <f t="shared" si="10"/>
        <v>-103576704</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1"/>
        <v>280306345.38193864</v>
      </c>
      <c r="F24" s="3">
        <f>L68</f>
        <v>-426255755.80420732</v>
      </c>
      <c r="G24" s="93">
        <f t="shared" si="0"/>
        <v>706562101.18614602</v>
      </c>
      <c r="H24" s="11"/>
      <c r="I24" s="94"/>
      <c r="J24" s="94"/>
      <c r="K24" s="205"/>
      <c r="L24" s="115"/>
      <c r="M24" s="205"/>
      <c r="N24" s="111"/>
      <c r="O24" s="112"/>
      <c r="P24" s="428"/>
      <c r="R24" s="167">
        <v>220803</v>
      </c>
      <c r="S24" s="166" t="s">
        <v>4204</v>
      </c>
      <c r="T24" s="193">
        <f>T23-1</f>
        <v>1181</v>
      </c>
      <c r="U24" s="166" t="s">
        <v>4466</v>
      </c>
      <c r="V24" s="166">
        <v>166</v>
      </c>
      <c r="W24" s="166">
        <f t="shared" si="6"/>
        <v>318.91465205479454</v>
      </c>
      <c r="X24" s="32">
        <f t="shared" si="7"/>
        <v>325.29294509589045</v>
      </c>
      <c r="Y24" s="32">
        <f t="shared" si="8"/>
        <v>331.67123813698635</v>
      </c>
      <c r="Z24" s="120">
        <v>1326</v>
      </c>
      <c r="AA24" s="94"/>
      <c r="AI24" s="97">
        <v>5</v>
      </c>
      <c r="AJ24" s="111" t="s">
        <v>1113</v>
      </c>
      <c r="AK24" s="111">
        <v>165500</v>
      </c>
      <c r="AL24" s="97">
        <v>12</v>
      </c>
      <c r="AM24" s="97">
        <f t="shared" si="9"/>
        <v>1301</v>
      </c>
      <c r="AN24" s="111">
        <f t="shared" si="10"/>
        <v>215315500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1"/>
        <v>286669138.44548404</v>
      </c>
      <c r="F25" s="3"/>
      <c r="G25" s="11"/>
      <c r="H25" s="11"/>
      <c r="J25" s="25"/>
      <c r="K25" s="205"/>
      <c r="L25" s="115"/>
      <c r="M25" s="205"/>
      <c r="N25" s="111"/>
      <c r="O25" s="112"/>
      <c r="P25" s="428"/>
      <c r="R25" s="167">
        <v>1023940</v>
      </c>
      <c r="S25" s="166" t="s">
        <v>4467</v>
      </c>
      <c r="T25" s="193">
        <f>T24-2</f>
        <v>1179</v>
      </c>
      <c r="U25" s="166" t="s">
        <v>4473</v>
      </c>
      <c r="V25" s="166">
        <v>160.19999999999999</v>
      </c>
      <c r="W25" s="166">
        <f t="shared" si="6"/>
        <v>307.52606465753428</v>
      </c>
      <c r="X25" s="32">
        <f t="shared" si="7"/>
        <v>313.67658595068497</v>
      </c>
      <c r="Y25" s="32">
        <f t="shared" si="8"/>
        <v>319.82710724383566</v>
      </c>
      <c r="Z25" s="120">
        <v>6362</v>
      </c>
      <c r="AA25" s="94" t="s">
        <v>25</v>
      </c>
      <c r="AI25" s="97">
        <v>6</v>
      </c>
      <c r="AJ25" s="111" t="s">
        <v>1138</v>
      </c>
      <c r="AK25" s="111">
        <v>-28830327</v>
      </c>
      <c r="AL25" s="97">
        <v>6</v>
      </c>
      <c r="AM25" s="97">
        <f t="shared" si="9"/>
        <v>1289</v>
      </c>
      <c r="AN25" s="111">
        <f t="shared" si="10"/>
        <v>-37162291503</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1"/>
        <v>293166754.03185946</v>
      </c>
      <c r="F26" s="3"/>
      <c r="G26" s="11"/>
      <c r="H26" s="11"/>
      <c r="J26" s="25" t="s">
        <v>25</v>
      </c>
      <c r="K26" s="166"/>
      <c r="L26" s="115"/>
      <c r="M26" s="166" t="s">
        <v>4413</v>
      </c>
      <c r="N26" s="111">
        <v>275</v>
      </c>
      <c r="O26" s="97" t="s">
        <v>920</v>
      </c>
      <c r="P26" s="97" t="s">
        <v>3911</v>
      </c>
      <c r="Q26" s="67"/>
      <c r="R26" s="167">
        <v>168846</v>
      </c>
      <c r="S26" s="166" t="s">
        <v>3673</v>
      </c>
      <c r="T26" s="193">
        <f>T25-28</f>
        <v>1151</v>
      </c>
      <c r="U26" s="166" t="s">
        <v>4547</v>
      </c>
      <c r="V26" s="166">
        <v>172.2</v>
      </c>
      <c r="W26" s="166">
        <f t="shared" si="6"/>
        <v>326.86296328767122</v>
      </c>
      <c r="X26" s="32">
        <f t="shared" si="7"/>
        <v>333.40022255342467</v>
      </c>
      <c r="Y26" s="32">
        <f t="shared" si="8"/>
        <v>339.93748181917806</v>
      </c>
      <c r="Z26" s="120">
        <v>976</v>
      </c>
      <c r="AA26" s="94"/>
      <c r="AI26" s="97">
        <v>7</v>
      </c>
      <c r="AJ26" s="111" t="s">
        <v>1163</v>
      </c>
      <c r="AK26" s="111">
        <v>18500000</v>
      </c>
      <c r="AL26" s="97">
        <v>1</v>
      </c>
      <c r="AM26" s="97">
        <f t="shared" si="9"/>
        <v>1283</v>
      </c>
      <c r="AN26" s="111">
        <f t="shared" si="10"/>
        <v>23735500000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1"/>
        <v>299801964.25813711</v>
      </c>
      <c r="F27" s="3"/>
      <c r="G27" s="11"/>
      <c r="H27" s="11"/>
      <c r="J27" s="25"/>
      <c r="K27" s="205"/>
      <c r="L27" s="115"/>
      <c r="M27" s="205" t="s">
        <v>6260</v>
      </c>
      <c r="N27" s="111">
        <f t="shared" ref="N27:N32" si="12">O27*P27</f>
        <v>0</v>
      </c>
      <c r="O27" s="97">
        <v>0</v>
      </c>
      <c r="P27" s="183">
        <v>1</v>
      </c>
      <c r="Q27" s="67"/>
      <c r="R27" s="167">
        <v>1563192</v>
      </c>
      <c r="S27" s="205" t="s">
        <v>4640</v>
      </c>
      <c r="T27" s="193">
        <f>T26-33</f>
        <v>1118</v>
      </c>
      <c r="U27" s="205" t="s">
        <v>4641</v>
      </c>
      <c r="V27" s="205">
        <v>168.8</v>
      </c>
      <c r="W27" s="205">
        <f t="shared" si="6"/>
        <v>316.13603945205483</v>
      </c>
      <c r="X27" s="32">
        <f t="shared" ref="X27:X46" si="13">W27*(1+$X$19/100)</f>
        <v>322.45876024109594</v>
      </c>
      <c r="Y27" s="32">
        <f t="shared" ref="Y27:Y46" si="14">W27*(1+$Y$19/100)</f>
        <v>328.78148103013706</v>
      </c>
      <c r="Z27" s="120">
        <v>9222</v>
      </c>
      <c r="AA27" s="94"/>
      <c r="AI27" s="97">
        <v>8</v>
      </c>
      <c r="AJ27" s="111" t="s">
        <v>1172</v>
      </c>
      <c r="AK27" s="111">
        <v>-18550000</v>
      </c>
      <c r="AL27" s="97">
        <v>1</v>
      </c>
      <c r="AM27" s="97">
        <f t="shared" si="9"/>
        <v>1282</v>
      </c>
      <c r="AN27" s="111">
        <f t="shared" si="10"/>
        <v>-23781100000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1"/>
        <v>306577597.44039667</v>
      </c>
      <c r="F28" s="3"/>
      <c r="G28" s="11"/>
      <c r="H28" s="11"/>
      <c r="K28" s="205"/>
      <c r="L28" s="115"/>
      <c r="M28" s="166" t="s">
        <v>4272</v>
      </c>
      <c r="N28" s="111">
        <f t="shared" si="12"/>
        <v>2946579000</v>
      </c>
      <c r="O28" s="97">
        <f>SUM(Z20:Z78)</f>
        <v>2333000</v>
      </c>
      <c r="P28" s="183">
        <f>P48</f>
        <v>1263</v>
      </c>
      <c r="Q28" s="67">
        <f>N28*100/$S$191</f>
        <v>26.560600215186724</v>
      </c>
      <c r="R28" s="167">
        <v>1204691</v>
      </c>
      <c r="S28" s="205" t="s">
        <v>4843</v>
      </c>
      <c r="T28" s="193">
        <f>T27-76</f>
        <v>1042</v>
      </c>
      <c r="U28" s="205" t="s">
        <v>4844</v>
      </c>
      <c r="V28" s="205">
        <v>218.5</v>
      </c>
      <c r="W28" s="205">
        <f t="shared" si="6"/>
        <v>396.47752876712326</v>
      </c>
      <c r="X28" s="32">
        <f t="shared" si="13"/>
        <v>404.40707934246575</v>
      </c>
      <c r="Y28" s="32">
        <f t="shared" si="14"/>
        <v>412.33662991780818</v>
      </c>
      <c r="Z28" s="120">
        <v>5488</v>
      </c>
      <c r="AA28" s="94"/>
      <c r="AI28" s="97">
        <v>9</v>
      </c>
      <c r="AJ28" s="111" t="s">
        <v>1179</v>
      </c>
      <c r="AK28" s="111">
        <v>-64961</v>
      </c>
      <c r="AL28" s="97">
        <v>5</v>
      </c>
      <c r="AM28" s="97">
        <f t="shared" si="9"/>
        <v>1281</v>
      </c>
      <c r="AN28" s="111">
        <f t="shared" si="10"/>
        <v>-83215041</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1"/>
        <v>313496539.22527236</v>
      </c>
      <c r="F29" s="3"/>
      <c r="G29" s="11"/>
      <c r="H29" s="11"/>
      <c r="J29" t="s">
        <v>25</v>
      </c>
      <c r="K29" s="205"/>
      <c r="L29" s="115"/>
      <c r="M29" s="205" t="s">
        <v>5261</v>
      </c>
      <c r="N29" s="111">
        <f t="shared" si="12"/>
        <v>503512596</v>
      </c>
      <c r="O29" s="97">
        <f>SUM(AB20:AB78)</f>
        <v>1216214</v>
      </c>
      <c r="P29" s="183">
        <f>P49</f>
        <v>414</v>
      </c>
      <c r="Q29" s="67">
        <f>N29*100/$S$191</f>
        <v>4.5386859696165711</v>
      </c>
      <c r="R29" s="167">
        <v>15011877</v>
      </c>
      <c r="S29" s="205" t="s">
        <v>4846</v>
      </c>
      <c r="T29" s="193">
        <f>T28-3</f>
        <v>1039</v>
      </c>
      <c r="U29" s="205" t="s">
        <v>4850</v>
      </c>
      <c r="V29" s="205">
        <v>197.1</v>
      </c>
      <c r="W29" s="205">
        <f t="shared" si="6"/>
        <v>357.19272000000001</v>
      </c>
      <c r="X29" s="32">
        <f t="shared" si="13"/>
        <v>364.33657440000002</v>
      </c>
      <c r="Y29" s="32">
        <f t="shared" si="14"/>
        <v>371.48042880000003</v>
      </c>
      <c r="Z29" s="120">
        <v>75812</v>
      </c>
      <c r="AA29" s="94"/>
      <c r="AI29" s="97">
        <v>10</v>
      </c>
      <c r="AJ29" s="111" t="s">
        <v>1195</v>
      </c>
      <c r="AK29" s="111">
        <v>6400000</v>
      </c>
      <c r="AL29" s="97">
        <v>1</v>
      </c>
      <c r="AM29" s="97">
        <f t="shared" si="9"/>
        <v>1276</v>
      </c>
      <c r="AN29" s="111">
        <f t="shared" si="10"/>
        <v>8166400000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1"/>
        <v>320561733.74420619</v>
      </c>
      <c r="F30" s="3"/>
      <c r="G30" s="11"/>
      <c r="H30" s="11"/>
      <c r="J30" s="25"/>
      <c r="K30" s="205"/>
      <c r="L30" s="115"/>
      <c r="M30" s="205" t="s">
        <v>4652</v>
      </c>
      <c r="N30" s="111">
        <f t="shared" si="12"/>
        <v>0</v>
      </c>
      <c r="O30" s="97">
        <v>0</v>
      </c>
      <c r="P30" s="183">
        <f>P50</f>
        <v>800</v>
      </c>
      <c r="Q30" s="67"/>
      <c r="R30" s="167">
        <v>7046042.5001907032</v>
      </c>
      <c r="S30" s="205" t="s">
        <v>4857</v>
      </c>
      <c r="T30" s="193">
        <f>T29-5</f>
        <v>1034</v>
      </c>
      <c r="U30" s="205" t="s">
        <v>5556</v>
      </c>
      <c r="V30" s="205">
        <v>194.4</v>
      </c>
      <c r="W30" s="205">
        <f t="shared" si="6"/>
        <v>351.55402520547949</v>
      </c>
      <c r="X30" s="32">
        <f t="shared" si="13"/>
        <v>358.58510570958907</v>
      </c>
      <c r="Y30" s="32">
        <f t="shared" si="14"/>
        <v>365.61618621369865</v>
      </c>
      <c r="Z30" s="120">
        <v>36073</v>
      </c>
      <c r="AA30" s="94"/>
      <c r="AI30" s="97">
        <v>11</v>
      </c>
      <c r="AJ30" s="111" t="s">
        <v>4037</v>
      </c>
      <c r="AK30" s="111">
        <v>-170000</v>
      </c>
      <c r="AL30" s="97">
        <v>5</v>
      </c>
      <c r="AM30" s="97">
        <f t="shared" si="9"/>
        <v>1275</v>
      </c>
      <c r="AN30" s="111">
        <f t="shared" si="10"/>
        <v>-216750000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1"/>
        <v>327776184.79086304</v>
      </c>
      <c r="F31" s="3"/>
      <c r="G31" s="11"/>
      <c r="H31" s="11"/>
      <c r="J31" s="25"/>
      <c r="K31" s="205"/>
      <c r="L31" s="115"/>
      <c r="M31" s="205" t="s">
        <v>4354</v>
      </c>
      <c r="N31" s="111">
        <f t="shared" si="12"/>
        <v>0</v>
      </c>
      <c r="O31" s="97">
        <v>0</v>
      </c>
      <c r="P31" s="183">
        <f>P51</f>
        <v>16919</v>
      </c>
      <c r="Q31" s="67"/>
      <c r="R31" s="167">
        <v>5368238</v>
      </c>
      <c r="S31" s="205" t="s">
        <v>5562</v>
      </c>
      <c r="T31" s="193">
        <f>T30-465</f>
        <v>569</v>
      </c>
      <c r="U31" s="205" t="s">
        <v>5563</v>
      </c>
      <c r="V31" s="205">
        <v>1843</v>
      </c>
      <c r="W31" s="205">
        <f t="shared" si="6"/>
        <v>2675.4704767123289</v>
      </c>
      <c r="X31" s="32">
        <f t="shared" si="13"/>
        <v>2728.9798862465755</v>
      </c>
      <c r="Y31" s="32">
        <f t="shared" si="14"/>
        <v>2782.489295780822</v>
      </c>
      <c r="Z31">
        <v>2902</v>
      </c>
      <c r="AB31" s="94"/>
      <c r="AI31" s="97">
        <v>12</v>
      </c>
      <c r="AJ31" s="111" t="s">
        <v>1215</v>
      </c>
      <c r="AK31" s="111">
        <v>-6300000</v>
      </c>
      <c r="AL31" s="97">
        <v>1</v>
      </c>
      <c r="AM31" s="97">
        <f>AM32+AL31</f>
        <v>1270</v>
      </c>
      <c r="AN31" s="111">
        <f t="shared" si="10"/>
        <v>-8001000000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1"/>
        <v>335142957.02217078</v>
      </c>
      <c r="F32" s="3"/>
      <c r="G32" s="11"/>
      <c r="H32" s="11"/>
      <c r="J32" s="53"/>
      <c r="K32" s="205"/>
      <c r="L32" s="115"/>
      <c r="M32" s="205" t="s">
        <v>5815</v>
      </c>
      <c r="N32" s="111">
        <f t="shared" si="12"/>
        <v>0</v>
      </c>
      <c r="O32" s="97">
        <v>0</v>
      </c>
      <c r="P32" s="183">
        <f>P54</f>
        <v>8463</v>
      </c>
      <c r="Q32" s="67"/>
      <c r="R32" s="167">
        <v>40195775</v>
      </c>
      <c r="S32" s="205" t="s">
        <v>5564</v>
      </c>
      <c r="T32" s="193">
        <f>T31-3</f>
        <v>566</v>
      </c>
      <c r="U32" s="205" t="s">
        <v>5565</v>
      </c>
      <c r="V32" s="205">
        <v>1751</v>
      </c>
      <c r="W32" s="205">
        <f t="shared" si="6"/>
        <v>2537.8850082191784</v>
      </c>
      <c r="X32" s="32">
        <f t="shared" si="13"/>
        <v>2588.642708383562</v>
      </c>
      <c r="Y32" s="32">
        <f t="shared" si="14"/>
        <v>2639.4004085479455</v>
      </c>
      <c r="Z32">
        <v>22871</v>
      </c>
      <c r="AI32" s="97">
        <v>13</v>
      </c>
      <c r="AJ32" s="111" t="s">
        <v>1224</v>
      </c>
      <c r="AK32" s="111">
        <v>-52015</v>
      </c>
      <c r="AL32" s="97">
        <v>16</v>
      </c>
      <c r="AM32" s="97">
        <f t="shared" si="9"/>
        <v>1269</v>
      </c>
      <c r="AN32" s="111">
        <f t="shared" si="10"/>
        <v>-66007035</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1"/>
        <v>342665177.18345958</v>
      </c>
      <c r="F33" s="3"/>
      <c r="G33" s="11"/>
      <c r="H33" s="11"/>
      <c r="J33" s="25"/>
      <c r="K33" s="205" t="s">
        <v>6713</v>
      </c>
      <c r="L33" s="115">
        <f>-'فروردین 98'!D176</f>
        <v>3846463</v>
      </c>
      <c r="M33" s="166"/>
      <c r="N33" s="111"/>
      <c r="O33" s="67"/>
      <c r="P33" s="97"/>
      <c r="Q33" s="67"/>
      <c r="R33" s="167">
        <v>16176504</v>
      </c>
      <c r="S33" s="205" t="s">
        <v>5566</v>
      </c>
      <c r="T33" s="193">
        <f>T32-1</f>
        <v>565</v>
      </c>
      <c r="U33" s="205" t="s">
        <v>5567</v>
      </c>
      <c r="V33" s="205">
        <v>1730</v>
      </c>
      <c r="W33" s="205">
        <f t="shared" si="6"/>
        <v>2506.1206575342467</v>
      </c>
      <c r="X33" s="32">
        <f t="shared" si="13"/>
        <v>2556.2430706849318</v>
      </c>
      <c r="Y33" s="32">
        <f t="shared" si="14"/>
        <v>2606.3654838356165</v>
      </c>
      <c r="Z33">
        <v>9316</v>
      </c>
      <c r="AA33" t="s">
        <v>25</v>
      </c>
      <c r="AB33" s="94"/>
      <c r="AI33" s="97">
        <v>14</v>
      </c>
      <c r="AJ33" s="111" t="s">
        <v>3690</v>
      </c>
      <c r="AK33" s="111">
        <v>20017400</v>
      </c>
      <c r="AL33" s="97">
        <v>0</v>
      </c>
      <c r="AM33" s="97">
        <f t="shared" si="9"/>
        <v>1253</v>
      </c>
      <c r="AN33" s="111">
        <f t="shared" si="10"/>
        <v>25081802200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1"/>
        <v>350346035.35818261</v>
      </c>
      <c r="F34" s="3"/>
      <c r="G34" s="11"/>
      <c r="H34" s="11"/>
      <c r="K34" s="205" t="s">
        <v>4420</v>
      </c>
      <c r="L34" s="115">
        <f>-X167</f>
        <v>-402908590.80420732</v>
      </c>
      <c r="M34" s="187" t="s">
        <v>4415</v>
      </c>
      <c r="N34" s="111">
        <v>169</v>
      </c>
      <c r="O34" s="252"/>
      <c r="P34" s="97" t="s">
        <v>25</v>
      </c>
      <c r="Q34" s="67"/>
      <c r="R34" s="167">
        <v>47880291</v>
      </c>
      <c r="S34" s="205" t="s">
        <v>5573</v>
      </c>
      <c r="T34" s="193">
        <f>T33-8</f>
        <v>557</v>
      </c>
      <c r="U34" s="205" t="s">
        <v>5577</v>
      </c>
      <c r="V34" s="205">
        <v>1737.1</v>
      </c>
      <c r="W34" s="205">
        <f t="shared" si="6"/>
        <v>2505.74533369863</v>
      </c>
      <c r="X34" s="32">
        <f t="shared" si="13"/>
        <v>2555.8602403726027</v>
      </c>
      <c r="Y34" s="32">
        <f t="shared" si="14"/>
        <v>2605.9751470465753</v>
      </c>
      <c r="Z34">
        <v>27461</v>
      </c>
      <c r="AB34" s="94"/>
      <c r="AI34" s="97">
        <v>15</v>
      </c>
      <c r="AJ34" s="111" t="s">
        <v>3690</v>
      </c>
      <c r="AK34" s="111">
        <v>1014466</v>
      </c>
      <c r="AL34" s="97">
        <v>12</v>
      </c>
      <c r="AM34" s="97">
        <f t="shared" si="9"/>
        <v>1253</v>
      </c>
      <c r="AN34" s="111">
        <f t="shared" si="10"/>
        <v>1271125898</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1"/>
        <v>358188786.24271059</v>
      </c>
      <c r="F35" s="3"/>
      <c r="G35" s="11"/>
      <c r="H35" s="11"/>
      <c r="K35" s="205"/>
      <c r="L35" s="115"/>
      <c r="M35" s="187" t="s">
        <v>4395</v>
      </c>
      <c r="N35" s="111">
        <f>O35*P35</f>
        <v>391498425</v>
      </c>
      <c r="O35" s="67">
        <v>309975</v>
      </c>
      <c r="P35" s="97">
        <f>P48</f>
        <v>1263</v>
      </c>
      <c r="Q35" s="67">
        <f>N35*100/$S$191</f>
        <v>3.5289850200182191</v>
      </c>
      <c r="R35" s="167">
        <v>48859908</v>
      </c>
      <c r="S35" s="205" t="s">
        <v>5576</v>
      </c>
      <c r="T35" s="193">
        <f>T34-1</f>
        <v>556</v>
      </c>
      <c r="U35" s="205" t="s">
        <v>5580</v>
      </c>
      <c r="V35" s="205">
        <v>1730.1</v>
      </c>
      <c r="W35" s="205">
        <f t="shared" si="6"/>
        <v>2494.3207200000002</v>
      </c>
      <c r="X35" s="32">
        <f t="shared" si="13"/>
        <v>2544.2071344000001</v>
      </c>
      <c r="Y35" s="32">
        <f t="shared" si="14"/>
        <v>2594.0935488000005</v>
      </c>
      <c r="Z35">
        <v>28136</v>
      </c>
      <c r="AA35" t="s">
        <v>25</v>
      </c>
      <c r="AB35" s="94" t="s">
        <v>25</v>
      </c>
      <c r="AI35" s="97">
        <v>16</v>
      </c>
      <c r="AJ35" s="111" t="s">
        <v>1126</v>
      </c>
      <c r="AK35" s="111">
        <v>360000</v>
      </c>
      <c r="AL35" s="97">
        <v>2</v>
      </c>
      <c r="AM35" s="97">
        <f t="shared" si="9"/>
        <v>1241</v>
      </c>
      <c r="AN35" s="111">
        <f t="shared" si="10"/>
        <v>446760000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1"/>
        <v>366196750.44670284</v>
      </c>
      <c r="F36" s="3"/>
      <c r="G36" s="11"/>
      <c r="H36" s="11"/>
      <c r="J36" t="s">
        <v>25</v>
      </c>
      <c r="K36" s="205" t="s">
        <v>902</v>
      </c>
      <c r="L36" s="115">
        <v>4800000</v>
      </c>
      <c r="M36" s="187" t="s">
        <v>5261</v>
      </c>
      <c r="N36" s="111">
        <f>O36*P36</f>
        <v>34277958</v>
      </c>
      <c r="O36" s="67">
        <v>82797</v>
      </c>
      <c r="P36" s="97">
        <f>P49</f>
        <v>414</v>
      </c>
      <c r="Q36" s="67">
        <f>N36*100/$S$191</f>
        <v>0.30898310842199089</v>
      </c>
      <c r="R36" s="167">
        <v>38191823</v>
      </c>
      <c r="S36" s="205" t="s">
        <v>5578</v>
      </c>
      <c r="T36" s="193">
        <f>T35-1</f>
        <v>555</v>
      </c>
      <c r="U36" s="205" t="s">
        <v>5579</v>
      </c>
      <c r="V36" s="205">
        <v>1646</v>
      </c>
      <c r="W36" s="205">
        <f t="shared" si="6"/>
        <v>2371.8093369863018</v>
      </c>
      <c r="X36" s="32">
        <f t="shared" si="13"/>
        <v>2419.2455237260278</v>
      </c>
      <c r="Y36" s="32">
        <f t="shared" si="14"/>
        <v>2466.6817104657539</v>
      </c>
      <c r="Z36">
        <v>23117</v>
      </c>
      <c r="AB36" s="94"/>
      <c r="AI36" s="97">
        <v>17</v>
      </c>
      <c r="AJ36" s="111" t="s">
        <v>3750</v>
      </c>
      <c r="AK36" s="111">
        <v>-350000</v>
      </c>
      <c r="AL36" s="97">
        <v>0</v>
      </c>
      <c r="AM36" s="97">
        <f t="shared" si="9"/>
        <v>1239</v>
      </c>
      <c r="AN36" s="111">
        <f t="shared" si="10"/>
        <v>-433650000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1"/>
        <v>374373315.81956631</v>
      </c>
      <c r="F37" s="3"/>
      <c r="G37" s="11"/>
      <c r="H37" s="11"/>
      <c r="J37" s="112"/>
      <c r="K37" s="205"/>
      <c r="L37" s="115"/>
      <c r="M37" s="166"/>
      <c r="N37" s="111"/>
      <c r="P37" t="s">
        <v>25</v>
      </c>
      <c r="Q37" s="67"/>
      <c r="R37" s="167">
        <v>70173463</v>
      </c>
      <c r="S37" s="205" t="s">
        <v>5581</v>
      </c>
      <c r="T37" s="193">
        <f>T36-3</f>
        <v>552</v>
      </c>
      <c r="U37" s="205" t="s">
        <v>5585</v>
      </c>
      <c r="V37" s="205">
        <v>1674.7</v>
      </c>
      <c r="W37" s="205">
        <f t="shared" si="6"/>
        <v>2409.3105961643842</v>
      </c>
      <c r="X37" s="32">
        <f t="shared" si="13"/>
        <v>2457.496808087672</v>
      </c>
      <c r="Y37" s="32">
        <f t="shared" si="14"/>
        <v>2505.6830200109598</v>
      </c>
      <c r="Z37">
        <v>41747</v>
      </c>
      <c r="AA37" t="s">
        <v>25</v>
      </c>
      <c r="AB37" s="94"/>
      <c r="AI37" s="97">
        <v>18</v>
      </c>
      <c r="AJ37" s="111" t="s">
        <v>3750</v>
      </c>
      <c r="AK37" s="111">
        <v>1000</v>
      </c>
      <c r="AL37" s="97">
        <v>1</v>
      </c>
      <c r="AM37" s="97">
        <f t="shared" si="9"/>
        <v>1239</v>
      </c>
      <c r="AN37" s="111">
        <f t="shared" si="10"/>
        <v>1239000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1"/>
        <v>382721938.80352634</v>
      </c>
      <c r="F38" s="3"/>
      <c r="G38" s="11"/>
      <c r="H38" s="11"/>
      <c r="J38" s="112"/>
      <c r="K38" s="205"/>
      <c r="L38" s="115"/>
      <c r="M38" s="166" t="s">
        <v>747</v>
      </c>
      <c r="N38" s="111">
        <v>3000000</v>
      </c>
      <c r="P38" t="s">
        <v>25</v>
      </c>
      <c r="Q38" s="67"/>
      <c r="R38" s="167">
        <v>23283294</v>
      </c>
      <c r="S38" s="205" t="s">
        <v>5583</v>
      </c>
      <c r="T38" s="193">
        <f>T37-2</f>
        <v>550</v>
      </c>
      <c r="U38" s="205" t="s">
        <v>5584</v>
      </c>
      <c r="V38" s="205">
        <v>1663</v>
      </c>
      <c r="W38" s="205">
        <f t="shared" si="6"/>
        <v>2389.9269150684936</v>
      </c>
      <c r="X38" s="32">
        <f t="shared" si="13"/>
        <v>2437.7254533698633</v>
      </c>
      <c r="Y38" s="32">
        <f t="shared" si="14"/>
        <v>2485.5239916712335</v>
      </c>
      <c r="Z38">
        <v>13949</v>
      </c>
      <c r="AA38" t="s">
        <v>25</v>
      </c>
      <c r="AB38" s="94"/>
      <c r="AI38" s="97">
        <v>19</v>
      </c>
      <c r="AJ38" s="111" t="s">
        <v>3754</v>
      </c>
      <c r="AK38" s="111">
        <v>33610000</v>
      </c>
      <c r="AL38" s="97">
        <v>4</v>
      </c>
      <c r="AM38" s="97">
        <f t="shared" si="9"/>
        <v>1238</v>
      </c>
      <c r="AN38" s="111">
        <f t="shared" si="10"/>
        <v>41609180000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1"/>
        <v>391246145.81384128</v>
      </c>
      <c r="F39" s="3"/>
      <c r="G39" s="11"/>
      <c r="H39" s="11"/>
      <c r="J39" s="112"/>
      <c r="K39" s="205" t="s">
        <v>6414</v>
      </c>
      <c r="L39" s="115">
        <v>-34500000</v>
      </c>
      <c r="M39" s="166"/>
      <c r="N39" s="111"/>
      <c r="P39" t="s">
        <v>25</v>
      </c>
      <c r="Q39" s="67"/>
      <c r="R39" s="167">
        <v>1611237.824</v>
      </c>
      <c r="S39" s="205" t="s">
        <v>5586</v>
      </c>
      <c r="T39" s="193">
        <f>T38-1</f>
        <v>549</v>
      </c>
      <c r="U39" s="205" t="s">
        <v>5591</v>
      </c>
      <c r="V39" s="205">
        <v>1580</v>
      </c>
      <c r="W39" s="205">
        <f t="shared" si="6"/>
        <v>2269.4340821917813</v>
      </c>
      <c r="X39" s="32">
        <f t="shared" si="13"/>
        <v>2314.822763835617</v>
      </c>
      <c r="Y39" s="32">
        <f t="shared" si="14"/>
        <v>2360.2114454794528</v>
      </c>
      <c r="Z39">
        <v>1016</v>
      </c>
      <c r="AB39" s="94" t="s">
        <v>25</v>
      </c>
      <c r="AC39" s="94"/>
      <c r="AD39" s="94"/>
      <c r="AE39" s="94"/>
      <c r="AI39" s="97">
        <v>20</v>
      </c>
      <c r="AJ39" s="111" t="s">
        <v>4038</v>
      </c>
      <c r="AK39" s="111">
        <v>-15600000</v>
      </c>
      <c r="AL39" s="97">
        <v>3</v>
      </c>
      <c r="AM39" s="97">
        <f t="shared" si="9"/>
        <v>1234</v>
      </c>
      <c r="AN39" s="111">
        <f t="shared" si="10"/>
        <v>-19250400000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1"/>
        <v>399949534.64670491</v>
      </c>
      <c r="F40" s="3"/>
      <c r="G40" s="11"/>
      <c r="H40" s="11"/>
      <c r="J40" s="112"/>
      <c r="K40" s="205"/>
      <c r="L40" s="205"/>
      <c r="M40" s="166"/>
      <c r="N40" s="111"/>
      <c r="O40" s="112"/>
      <c r="P40" t="s">
        <v>25</v>
      </c>
      <c r="Q40" s="67"/>
      <c r="R40" s="167">
        <v>563902380</v>
      </c>
      <c r="S40" s="205" t="s">
        <v>5593</v>
      </c>
      <c r="T40" s="193">
        <f>T39-5</f>
        <v>544</v>
      </c>
      <c r="U40" s="205" t="s">
        <v>5595</v>
      </c>
      <c r="V40" s="205">
        <v>1560.1</v>
      </c>
      <c r="W40" s="205">
        <f t="shared" si="6"/>
        <v>2234.8667583561642</v>
      </c>
      <c r="X40" s="32">
        <f t="shared" si="13"/>
        <v>2279.5640935232873</v>
      </c>
      <c r="Y40" s="32">
        <f t="shared" si="14"/>
        <v>2324.2614286904109</v>
      </c>
      <c r="Z40">
        <v>360127</v>
      </c>
      <c r="AA40" s="113"/>
      <c r="AC40" s="94"/>
      <c r="AD40" s="94"/>
      <c r="AE40" s="94"/>
      <c r="AI40" s="97">
        <v>21</v>
      </c>
      <c r="AJ40" s="111" t="s">
        <v>3768</v>
      </c>
      <c r="AK40" s="111">
        <v>7500000</v>
      </c>
      <c r="AL40" s="97">
        <v>4</v>
      </c>
      <c r="AM40" s="97">
        <f t="shared" si="9"/>
        <v>1231</v>
      </c>
      <c r="AN40" s="111">
        <f t="shared" si="10"/>
        <v>9232500000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1"/>
        <v>408835775.91539168</v>
      </c>
      <c r="F41" s="3"/>
      <c r="G41" s="11"/>
      <c r="H41" s="11"/>
      <c r="J41" s="112"/>
      <c r="K41" s="205"/>
      <c r="L41" s="205"/>
      <c r="M41" s="166" t="s">
        <v>751</v>
      </c>
      <c r="N41" s="111">
        <v>1200000</v>
      </c>
      <c r="O41" s="112"/>
      <c r="P41" t="s">
        <v>25</v>
      </c>
      <c r="Q41" s="67"/>
      <c r="R41" s="167">
        <v>814638349</v>
      </c>
      <c r="S41" s="205" t="s">
        <v>5600</v>
      </c>
      <c r="T41" s="193">
        <f>T40-8</f>
        <v>536</v>
      </c>
      <c r="U41" s="205" t="s">
        <v>5601</v>
      </c>
      <c r="V41" s="205">
        <v>1667</v>
      </c>
      <c r="W41" s="205">
        <f t="shared" si="6"/>
        <v>2377.7722630136986</v>
      </c>
      <c r="X41" s="32">
        <f t="shared" si="13"/>
        <v>2425.3277082739728</v>
      </c>
      <c r="Y41" s="32">
        <f t="shared" si="14"/>
        <v>2472.8831535342465</v>
      </c>
      <c r="Z41">
        <v>486878</v>
      </c>
      <c r="AA41" s="113"/>
      <c r="AC41" s="94"/>
      <c r="AD41" s="94"/>
      <c r="AE41" s="94"/>
      <c r="AI41" s="97">
        <v>22</v>
      </c>
      <c r="AJ41" s="111" t="s">
        <v>4039</v>
      </c>
      <c r="AK41" s="111">
        <v>-98000</v>
      </c>
      <c r="AL41" s="97">
        <v>1</v>
      </c>
      <c r="AM41" s="97">
        <f t="shared" si="9"/>
        <v>1227</v>
      </c>
      <c r="AN41" s="111">
        <f t="shared" si="10"/>
        <v>-120246000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1"/>
        <v>417908614.51520973</v>
      </c>
      <c r="F42" s="3"/>
      <c r="G42" s="11"/>
      <c r="H42" s="11"/>
      <c r="J42" s="112"/>
      <c r="K42" s="205"/>
      <c r="L42" s="115"/>
      <c r="M42" s="71"/>
      <c r="N42" s="111"/>
      <c r="O42" s="112"/>
      <c r="P42" t="s">
        <v>25</v>
      </c>
      <c r="Q42" s="67"/>
      <c r="R42" s="167">
        <v>2537951</v>
      </c>
      <c r="S42" s="205" t="s">
        <v>5615</v>
      </c>
      <c r="T42" s="193">
        <f>T41-5</f>
        <v>531</v>
      </c>
      <c r="U42" s="205" t="s">
        <v>5616</v>
      </c>
      <c r="V42" s="205">
        <v>1768.2</v>
      </c>
      <c r="W42" s="205">
        <f t="shared" si="6"/>
        <v>2515.3395879452055</v>
      </c>
      <c r="X42" s="32">
        <f t="shared" si="13"/>
        <v>2565.6463797041097</v>
      </c>
      <c r="Y42" s="32">
        <f t="shared" si="14"/>
        <v>2615.9531714630139</v>
      </c>
      <c r="Z42">
        <v>1430</v>
      </c>
      <c r="AA42" s="113"/>
      <c r="AC42" s="113"/>
      <c r="AD42" s="113"/>
      <c r="AE42" s="113"/>
      <c r="AF42" s="113"/>
      <c r="AG42" s="113"/>
      <c r="AI42" s="97">
        <v>23</v>
      </c>
      <c r="AJ42" s="111" t="s">
        <v>4033</v>
      </c>
      <c r="AK42" s="111">
        <v>-26000000</v>
      </c>
      <c r="AL42" s="97">
        <v>0</v>
      </c>
      <c r="AM42" s="97">
        <f t="shared" si="9"/>
        <v>1226</v>
      </c>
      <c r="AN42" s="111">
        <f t="shared" si="10"/>
        <v>-31876000000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1"/>
        <v>427171871.11783922</v>
      </c>
      <c r="F43" s="3"/>
      <c r="G43" s="11"/>
      <c r="H43" s="11"/>
      <c r="J43" s="112"/>
      <c r="K43" s="205" t="s">
        <v>6955</v>
      </c>
      <c r="L43" s="115">
        <v>-5200000</v>
      </c>
      <c r="M43" s="166"/>
      <c r="N43" s="111"/>
      <c r="P43" t="s">
        <v>25</v>
      </c>
      <c r="Q43" s="67"/>
      <c r="R43" s="167">
        <v>67414766</v>
      </c>
      <c r="S43" s="205" t="s">
        <v>5624</v>
      </c>
      <c r="T43" s="193">
        <f>T42-3</f>
        <v>528</v>
      </c>
      <c r="U43" s="205" t="s">
        <v>5631</v>
      </c>
      <c r="V43" s="205">
        <v>1582.3</v>
      </c>
      <c r="W43" s="205">
        <f t="shared" si="6"/>
        <v>2247.2474860273974</v>
      </c>
      <c r="X43" s="32">
        <f t="shared" si="13"/>
        <v>2292.1924357479452</v>
      </c>
      <c r="Y43" s="32">
        <f t="shared" si="14"/>
        <v>2337.1373854684934</v>
      </c>
      <c r="Z43" s="94">
        <v>42448</v>
      </c>
      <c r="AA43" s="120"/>
      <c r="AC43" s="113"/>
      <c r="AD43" s="113"/>
      <c r="AE43" s="113"/>
      <c r="AF43" s="113"/>
      <c r="AG43" s="113"/>
      <c r="AI43" s="97">
        <v>24</v>
      </c>
      <c r="AJ43" s="111" t="s">
        <v>4033</v>
      </c>
      <c r="AK43" s="111">
        <v>25000000</v>
      </c>
      <c r="AL43" s="97">
        <v>1</v>
      </c>
      <c r="AM43" s="97">
        <f t="shared" si="9"/>
        <v>1226</v>
      </c>
      <c r="AN43" s="111">
        <f t="shared" si="10"/>
        <v>30650000000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1"/>
        <v>436629443.69564456</v>
      </c>
      <c r="F44" s="3"/>
      <c r="G44" s="11"/>
      <c r="H44" s="11"/>
      <c r="K44" s="205" t="s">
        <v>6899</v>
      </c>
      <c r="L44" s="115">
        <v>-43000000</v>
      </c>
      <c r="M44" s="166" t="s">
        <v>6416</v>
      </c>
      <c r="N44" s="111">
        <v>-14000000</v>
      </c>
      <c r="O44" t="s">
        <v>25</v>
      </c>
      <c r="P44" t="s">
        <v>25</v>
      </c>
      <c r="Q44" s="67"/>
      <c r="R44" s="167">
        <v>23400057</v>
      </c>
      <c r="S44" s="205" t="s">
        <v>5628</v>
      </c>
      <c r="T44" s="193">
        <f>T43-1</f>
        <v>527</v>
      </c>
      <c r="U44" s="205" t="s">
        <v>5632</v>
      </c>
      <c r="V44" s="205">
        <v>1610.6</v>
      </c>
      <c r="W44" s="205">
        <f t="shared" si="6"/>
        <v>2286.2047802739726</v>
      </c>
      <c r="X44" s="32">
        <f t="shared" si="13"/>
        <v>2331.9288758794519</v>
      </c>
      <c r="Y44" s="32">
        <f t="shared" si="14"/>
        <v>2377.6529714849316</v>
      </c>
      <c r="Z44" s="94">
        <v>14475</v>
      </c>
      <c r="AA44" s="120" t="s">
        <v>25</v>
      </c>
      <c r="AC44" s="113"/>
      <c r="AD44" s="113"/>
      <c r="AE44" s="113" t="s">
        <v>25</v>
      </c>
      <c r="AF44" s="113"/>
      <c r="AG44" s="113"/>
      <c r="AI44" s="97">
        <v>25</v>
      </c>
      <c r="AJ44" s="111" t="s">
        <v>4034</v>
      </c>
      <c r="AK44" s="111">
        <v>110000</v>
      </c>
      <c r="AL44" s="97">
        <v>1</v>
      </c>
      <c r="AM44" s="97">
        <f t="shared" si="9"/>
        <v>1225</v>
      </c>
      <c r="AN44" s="111">
        <f t="shared" si="10"/>
        <v>134750000</v>
      </c>
      <c r="AO44" s="97"/>
      <c r="AR44" s="94"/>
      <c r="AS44" s="94"/>
      <c r="AT44" s="94"/>
      <c r="AW44" s="94"/>
    </row>
    <row r="45" spans="1:55">
      <c r="A45" s="60">
        <v>99</v>
      </c>
      <c r="B45" s="11">
        <v>43</v>
      </c>
      <c r="C45" s="48">
        <f t="shared" si="4"/>
        <v>4919648.5409651063</v>
      </c>
      <c r="D45" s="3">
        <f t="shared" si="5"/>
        <v>3996372.0339620672</v>
      </c>
      <c r="E45" s="3">
        <f t="shared" si="11"/>
        <v>446285309.07656044</v>
      </c>
      <c r="F45" s="3"/>
      <c r="G45" s="11"/>
      <c r="H45" s="11"/>
      <c r="J45" s="112"/>
      <c r="K45" s="205"/>
      <c r="L45" s="115"/>
      <c r="M45" s="166" t="s">
        <v>6417</v>
      </c>
      <c r="N45" s="111">
        <v>-34200000</v>
      </c>
      <c r="O45" s="273"/>
      <c r="P45" s="94" t="s">
        <v>25</v>
      </c>
      <c r="Q45" s="67"/>
      <c r="R45" s="167"/>
      <c r="S45" s="205" t="s">
        <v>5634</v>
      </c>
      <c r="T45" s="193">
        <f>T44-4</f>
        <v>523</v>
      </c>
      <c r="U45" s="205" t="s">
        <v>5635</v>
      </c>
      <c r="V45" s="205">
        <v>1582</v>
      </c>
      <c r="W45" s="205">
        <f t="shared" si="6"/>
        <v>2240.7534684931506</v>
      </c>
      <c r="X45" s="32">
        <f t="shared" si="13"/>
        <v>2285.5685378630137</v>
      </c>
      <c r="Y45" s="32">
        <f t="shared" si="14"/>
        <v>2330.3836072328768</v>
      </c>
      <c r="Z45" s="94">
        <v>71983</v>
      </c>
      <c r="AA45" s="120"/>
      <c r="AB45" s="94"/>
      <c r="AC45" s="113"/>
      <c r="AD45" s="113" t="s">
        <v>25</v>
      </c>
      <c r="AE45" s="113" t="s">
        <v>25</v>
      </c>
      <c r="AF45" s="113"/>
      <c r="AG45" s="113" t="s">
        <v>25</v>
      </c>
      <c r="AI45" s="97">
        <v>26</v>
      </c>
      <c r="AJ45" s="111" t="s">
        <v>3783</v>
      </c>
      <c r="AK45" s="111">
        <v>380000</v>
      </c>
      <c r="AL45" s="97">
        <v>7</v>
      </c>
      <c r="AM45" s="97">
        <f t="shared" si="9"/>
        <v>1224</v>
      </c>
      <c r="AN45" s="111">
        <f t="shared" si="10"/>
        <v>465120000</v>
      </c>
      <c r="AO45" s="97"/>
      <c r="AR45" s="94"/>
      <c r="AS45" s="94"/>
      <c r="AT45" s="94"/>
      <c r="AW45" s="94"/>
    </row>
    <row r="46" spans="1:55">
      <c r="A46" s="60">
        <v>99</v>
      </c>
      <c r="B46" s="11">
        <v>44</v>
      </c>
      <c r="C46" s="48">
        <f t="shared" si="4"/>
        <v>4968845.0263747573</v>
      </c>
      <c r="D46" s="3">
        <f t="shared" si="5"/>
        <v>4036335.7543016877</v>
      </c>
      <c r="E46" s="3">
        <f t="shared" si="11"/>
        <v>456143524.53016472</v>
      </c>
      <c r="F46" s="3"/>
      <c r="G46" s="11"/>
      <c r="H46" s="11"/>
      <c r="I46" s="94"/>
      <c r="J46" s="112"/>
      <c r="K46" s="205"/>
      <c r="L46" s="115"/>
      <c r="M46" s="166"/>
      <c r="N46" s="111"/>
      <c r="O46" s="112"/>
      <c r="P46" s="94"/>
      <c r="Q46" s="67"/>
      <c r="R46" s="167"/>
      <c r="S46" s="205" t="s">
        <v>5636</v>
      </c>
      <c r="T46" s="193">
        <f>T45-1</f>
        <v>522</v>
      </c>
      <c r="U46" s="205" t="s">
        <v>5637</v>
      </c>
      <c r="V46" s="205">
        <v>1530</v>
      </c>
      <c r="W46" s="205">
        <f t="shared" si="6"/>
        <v>2165.9266849315072</v>
      </c>
      <c r="X46" s="32">
        <f t="shared" si="13"/>
        <v>2209.2452186301375</v>
      </c>
      <c r="Y46" s="32">
        <f t="shared" si="14"/>
        <v>2252.5637523287678</v>
      </c>
      <c r="Z46" s="94">
        <v>2971</v>
      </c>
      <c r="AA46" s="120"/>
      <c r="AB46" s="94"/>
      <c r="AC46" s="113"/>
      <c r="AD46" s="113"/>
      <c r="AE46" s="113"/>
      <c r="AF46" s="113"/>
      <c r="AG46" s="113"/>
      <c r="AI46" s="97">
        <v>27</v>
      </c>
      <c r="AJ46" s="111" t="s">
        <v>3869</v>
      </c>
      <c r="AK46" s="111">
        <v>450000</v>
      </c>
      <c r="AL46" s="97">
        <v>6</v>
      </c>
      <c r="AM46" s="97">
        <f t="shared" si="9"/>
        <v>1217</v>
      </c>
      <c r="AN46" s="111">
        <f t="shared" si="10"/>
        <v>547650000</v>
      </c>
      <c r="AO46" s="97"/>
      <c r="AR46" s="94"/>
      <c r="AS46" s="94"/>
      <c r="AT46" s="94"/>
      <c r="AW46" s="94"/>
    </row>
    <row r="47" spans="1:55">
      <c r="A47" s="60">
        <v>99</v>
      </c>
      <c r="B47" s="11">
        <v>45</v>
      </c>
      <c r="C47" s="48">
        <f t="shared" si="4"/>
        <v>5018533.4766385052</v>
      </c>
      <c r="D47" s="3">
        <f t="shared" si="5"/>
        <v>4076699.1118447045</v>
      </c>
      <c r="E47" s="3">
        <f t="shared" si="11"/>
        <v>466208229.38556182</v>
      </c>
      <c r="F47" s="3"/>
      <c r="G47" s="11"/>
      <c r="H47" s="11"/>
      <c r="J47" s="112"/>
      <c r="K47" s="205" t="s">
        <v>6400</v>
      </c>
      <c r="L47" s="115">
        <v>20000000</v>
      </c>
      <c r="M47" s="166" t="s">
        <v>4414</v>
      </c>
      <c r="N47" s="297">
        <v>147</v>
      </c>
      <c r="O47" s="112"/>
      <c r="P47" t="s">
        <v>25</v>
      </c>
      <c r="Q47" s="67"/>
      <c r="R47" s="167"/>
      <c r="S47" s="205" t="s">
        <v>5639</v>
      </c>
      <c r="T47" s="193">
        <f>T46-2</f>
        <v>520</v>
      </c>
      <c r="U47" s="205" t="s">
        <v>5640</v>
      </c>
      <c r="V47" s="205"/>
      <c r="W47" s="205">
        <f t="shared" si="6"/>
        <v>0</v>
      </c>
      <c r="X47" s="32">
        <f t="shared" ref="X47:X55" si="15">W47*(1+$X$19/100)</f>
        <v>0</v>
      </c>
      <c r="Y47" s="32">
        <f t="shared" ref="Y47:Y55" si="16">W47*(1+$Y$19/100)</f>
        <v>0</v>
      </c>
      <c r="Z47" s="94">
        <v>32899</v>
      </c>
      <c r="AA47" s="120"/>
      <c r="AB47" s="94"/>
      <c r="AC47" s="113"/>
      <c r="AD47" s="113"/>
      <c r="AE47" s="113" t="s">
        <v>25</v>
      </c>
      <c r="AF47" s="113"/>
      <c r="AG47" s="113"/>
      <c r="AI47" s="97">
        <v>28</v>
      </c>
      <c r="AJ47" s="111" t="s">
        <v>3893</v>
      </c>
      <c r="AK47" s="111">
        <v>2800000</v>
      </c>
      <c r="AL47" s="97">
        <v>1</v>
      </c>
      <c r="AM47" s="97">
        <f t="shared" si="9"/>
        <v>1211</v>
      </c>
      <c r="AN47" s="111">
        <f t="shared" si="10"/>
        <v>3390800000</v>
      </c>
      <c r="AO47" s="97"/>
      <c r="AR47" s="94"/>
      <c r="AS47" s="94"/>
      <c r="AT47" s="94"/>
    </row>
    <row r="48" spans="1:55">
      <c r="A48" s="62">
        <v>99</v>
      </c>
      <c r="B48" s="62">
        <v>46</v>
      </c>
      <c r="C48" s="63">
        <f t="shared" si="4"/>
        <v>5068718.8114048904</v>
      </c>
      <c r="D48" s="63">
        <f t="shared" si="5"/>
        <v>4117466.1029631514</v>
      </c>
      <c r="E48" s="63">
        <f t="shared" si="11"/>
        <v>476483646.68171477</v>
      </c>
      <c r="F48" s="3"/>
      <c r="G48" s="11"/>
      <c r="H48" s="11" t="s">
        <v>605</v>
      </c>
      <c r="J48" s="112"/>
      <c r="K48" s="241" t="s">
        <v>6911</v>
      </c>
      <c r="L48" s="115">
        <v>25000000</v>
      </c>
      <c r="M48" s="19" t="s">
        <v>4156</v>
      </c>
      <c r="N48" s="111">
        <f t="shared" ref="N48:N55" si="17">O48*P48</f>
        <v>3680382000</v>
      </c>
      <c r="O48" s="97">
        <f>SUM(Z115:Z148)</f>
        <v>2914000</v>
      </c>
      <c r="P48" s="97">
        <v>1263</v>
      </c>
      <c r="Q48" s="67">
        <f>N48*100/$S$191</f>
        <v>33.175134602252086</v>
      </c>
      <c r="R48" s="167"/>
      <c r="S48" s="205" t="s">
        <v>5655</v>
      </c>
      <c r="T48" s="193">
        <f>T47-19</f>
        <v>501</v>
      </c>
      <c r="U48" s="205" t="s">
        <v>5656</v>
      </c>
      <c r="V48" s="205">
        <v>1160</v>
      </c>
      <c r="W48" s="205">
        <f t="shared" si="6"/>
        <v>1623.4533698630137</v>
      </c>
      <c r="X48" s="32">
        <f t="shared" si="15"/>
        <v>1655.9224372602739</v>
      </c>
      <c r="Y48" s="32">
        <f t="shared" si="16"/>
        <v>1688.3915046575344</v>
      </c>
      <c r="Z48" s="94">
        <v>53136</v>
      </c>
      <c r="AA48" s="120"/>
      <c r="AB48" s="94"/>
      <c r="AC48" s="113" t="s">
        <v>25</v>
      </c>
      <c r="AD48" s="113"/>
      <c r="AE48" s="113"/>
      <c r="AF48" s="113"/>
      <c r="AG48" s="113"/>
      <c r="AI48" s="97">
        <v>29</v>
      </c>
      <c r="AJ48" s="111" t="s">
        <v>3894</v>
      </c>
      <c r="AK48" s="111">
        <v>-1500000</v>
      </c>
      <c r="AL48" s="97">
        <v>0</v>
      </c>
      <c r="AM48" s="97">
        <f t="shared" si="9"/>
        <v>1210</v>
      </c>
      <c r="AN48" s="111">
        <f t="shared" si="10"/>
        <v>-1815000000</v>
      </c>
      <c r="AO48" s="97"/>
      <c r="AR48" s="94"/>
      <c r="AS48" s="94"/>
      <c r="AT48" s="94"/>
    </row>
    <row r="49" spans="1:46">
      <c r="A49" s="60">
        <v>99</v>
      </c>
      <c r="B49" s="11">
        <v>47</v>
      </c>
      <c r="C49" s="3">
        <f t="shared" si="4"/>
        <v>5119405.9995189393</v>
      </c>
      <c r="D49" s="3">
        <f t="shared" si="5"/>
        <v>4158640.7639927831</v>
      </c>
      <c r="E49" s="3">
        <f t="shared" si="11"/>
        <v>486974084.8508752</v>
      </c>
      <c r="F49" s="3"/>
      <c r="G49" s="11"/>
      <c r="H49" s="11"/>
      <c r="J49" s="112"/>
      <c r="K49" s="205"/>
      <c r="L49" s="115"/>
      <c r="M49" s="19" t="s">
        <v>5261</v>
      </c>
      <c r="N49" s="111">
        <f t="shared" si="17"/>
        <v>2475760986</v>
      </c>
      <c r="O49" s="97">
        <f>SUM(AB115:AB149)</f>
        <v>5980099</v>
      </c>
      <c r="P49" s="97">
        <v>414</v>
      </c>
      <c r="Q49" s="67">
        <f>N49*100/$S$191</f>
        <v>22.316624729051046</v>
      </c>
      <c r="R49" s="167"/>
      <c r="S49" s="205" t="s">
        <v>5657</v>
      </c>
      <c r="T49" s="193">
        <f>T48-1</f>
        <v>500</v>
      </c>
      <c r="U49" s="205" t="s">
        <v>5658</v>
      </c>
      <c r="V49" s="205"/>
      <c r="W49" s="205">
        <f t="shared" si="6"/>
        <v>0</v>
      </c>
      <c r="X49" s="32">
        <f t="shared" si="15"/>
        <v>0</v>
      </c>
      <c r="Y49" s="32">
        <f t="shared" si="16"/>
        <v>0</v>
      </c>
      <c r="Z49" s="94">
        <v>152397</v>
      </c>
      <c r="AA49" s="120"/>
      <c r="AB49" s="94"/>
      <c r="AD49" t="s">
        <v>25</v>
      </c>
      <c r="AE49" t="s">
        <v>25</v>
      </c>
      <c r="AG49" s="113"/>
      <c r="AI49" s="97">
        <v>30</v>
      </c>
      <c r="AJ49" s="111" t="s">
        <v>3894</v>
      </c>
      <c r="AK49" s="111">
        <v>3050000</v>
      </c>
      <c r="AL49" s="97">
        <v>3</v>
      </c>
      <c r="AM49" s="97">
        <f>AM50+AL49</f>
        <v>1210</v>
      </c>
      <c r="AN49" s="111">
        <f t="shared" si="10"/>
        <v>3690500000</v>
      </c>
      <c r="AO49" s="97"/>
      <c r="AR49" s="94"/>
      <c r="AS49" s="94"/>
      <c r="AT49" s="94"/>
    </row>
    <row r="50" spans="1:46">
      <c r="A50" s="60">
        <v>99</v>
      </c>
      <c r="B50" s="11">
        <v>48</v>
      </c>
      <c r="C50" s="49">
        <f t="shared" si="4"/>
        <v>5170600.0595141286</v>
      </c>
      <c r="D50" s="49">
        <f t="shared" si="5"/>
        <v>4200227.1716327108</v>
      </c>
      <c r="E50" s="50">
        <f t="shared" si="11"/>
        <v>497683939.43577409</v>
      </c>
      <c r="F50" s="49"/>
      <c r="G50" s="11"/>
      <c r="H50" s="97"/>
      <c r="I50" s="190"/>
      <c r="J50" s="126"/>
      <c r="K50" s="205"/>
      <c r="L50" s="205"/>
      <c r="M50" s="19" t="s">
        <v>4652</v>
      </c>
      <c r="N50" s="111">
        <f t="shared" si="17"/>
        <v>0</v>
      </c>
      <c r="O50" s="97">
        <v>0</v>
      </c>
      <c r="P50" s="97">
        <v>800</v>
      </c>
      <c r="Q50" s="67"/>
      <c r="R50" s="167"/>
      <c r="S50" s="205" t="s">
        <v>5659</v>
      </c>
      <c r="T50" s="193">
        <f>T49-1</f>
        <v>499</v>
      </c>
      <c r="U50" s="205" t="s">
        <v>5660</v>
      </c>
      <c r="V50" s="205"/>
      <c r="W50" s="205">
        <f t="shared" si="6"/>
        <v>0</v>
      </c>
      <c r="X50" s="32">
        <f t="shared" si="15"/>
        <v>0</v>
      </c>
      <c r="Y50" s="32">
        <f t="shared" si="16"/>
        <v>0</v>
      </c>
      <c r="Z50" s="94">
        <v>173628</v>
      </c>
      <c r="AA50" s="120"/>
      <c r="AB50" s="94"/>
      <c r="AI50" s="97">
        <v>31</v>
      </c>
      <c r="AJ50" s="111" t="s">
        <v>3918</v>
      </c>
      <c r="AK50" s="111">
        <v>-8299612</v>
      </c>
      <c r="AL50" s="97">
        <v>2</v>
      </c>
      <c r="AM50" s="97">
        <f t="shared" si="9"/>
        <v>1207</v>
      </c>
      <c r="AN50" s="111">
        <f t="shared" si="10"/>
        <v>-10017631684</v>
      </c>
      <c r="AO50" s="97"/>
      <c r="AR50" s="94"/>
      <c r="AS50" s="94"/>
      <c r="AT50" s="94"/>
    </row>
    <row r="51" spans="1:46">
      <c r="A51" s="61">
        <v>1400</v>
      </c>
      <c r="B51" s="11">
        <v>49</v>
      </c>
      <c r="C51" s="44">
        <f t="shared" si="4"/>
        <v>5222306.0601092698</v>
      </c>
      <c r="D51" s="3">
        <f t="shared" si="5"/>
        <v>4242229.4433490383</v>
      </c>
      <c r="E51" s="3">
        <f t="shared" si="11"/>
        <v>508617694.84124976</v>
      </c>
      <c r="F51" s="3"/>
      <c r="G51" s="11"/>
      <c r="H51" s="97"/>
      <c r="I51" s="190"/>
      <c r="J51" s="126"/>
      <c r="K51" s="205"/>
      <c r="L51" s="205"/>
      <c r="M51" s="19" t="s">
        <v>4354</v>
      </c>
      <c r="N51" s="115">
        <f t="shared" si="17"/>
        <v>0</v>
      </c>
      <c r="O51" s="67">
        <v>0</v>
      </c>
      <c r="P51" s="67">
        <v>16919</v>
      </c>
      <c r="Q51" s="67"/>
      <c r="R51" s="167"/>
      <c r="S51" s="205" t="s">
        <v>5661</v>
      </c>
      <c r="T51" s="193">
        <f>T50-3</f>
        <v>496</v>
      </c>
      <c r="U51" s="205" t="s">
        <v>5662</v>
      </c>
      <c r="V51" s="205"/>
      <c r="W51" s="205">
        <f t="shared" si="6"/>
        <v>0</v>
      </c>
      <c r="X51" s="32">
        <f t="shared" si="15"/>
        <v>0</v>
      </c>
      <c r="Y51" s="32">
        <f t="shared" si="16"/>
        <v>0</v>
      </c>
      <c r="Z51" s="94">
        <v>79504</v>
      </c>
      <c r="AA51" s="120"/>
      <c r="AB51" s="94"/>
      <c r="AI51" s="97">
        <v>32</v>
      </c>
      <c r="AJ51" s="111" t="s">
        <v>3913</v>
      </c>
      <c r="AK51" s="111">
        <v>5000000</v>
      </c>
      <c r="AL51" s="97">
        <v>14</v>
      </c>
      <c r="AM51" s="97">
        <f t="shared" si="9"/>
        <v>1205</v>
      </c>
      <c r="AN51" s="111">
        <f t="shared" si="10"/>
        <v>6025000000</v>
      </c>
      <c r="AO51" s="97"/>
      <c r="AR51" s="94"/>
      <c r="AS51" s="94"/>
      <c r="AT51" s="94"/>
    </row>
    <row r="52" spans="1:46">
      <c r="A52" s="61">
        <v>1400</v>
      </c>
      <c r="B52" s="11">
        <v>50</v>
      </c>
      <c r="C52" s="44">
        <f t="shared" si="4"/>
        <v>5274529.1207103627</v>
      </c>
      <c r="D52" s="3">
        <f t="shared" si="5"/>
        <v>4284651.7377825286</v>
      </c>
      <c r="E52" s="3">
        <f t="shared" si="11"/>
        <v>519779926.12100261</v>
      </c>
      <c r="F52" s="3"/>
      <c r="G52" s="11"/>
      <c r="H52" s="97"/>
      <c r="I52" s="190"/>
      <c r="J52" s="126"/>
      <c r="K52" s="205" t="s">
        <v>6954</v>
      </c>
      <c r="L52" s="115">
        <f>-22*P56</f>
        <v>-26840000</v>
      </c>
      <c r="M52" s="19" t="s">
        <v>4358</v>
      </c>
      <c r="N52" s="115">
        <f t="shared" si="17"/>
        <v>0</v>
      </c>
      <c r="O52" s="67">
        <v>0</v>
      </c>
      <c r="P52" s="67">
        <v>19445</v>
      </c>
      <c r="Q52" s="67"/>
      <c r="R52" s="167"/>
      <c r="S52" s="205" t="s">
        <v>5664</v>
      </c>
      <c r="T52" s="193">
        <f>T51-2</f>
        <v>494</v>
      </c>
      <c r="U52" s="205" t="s">
        <v>5665</v>
      </c>
      <c r="V52" s="205"/>
      <c r="W52" s="205">
        <f t="shared" ref="W52:W74" si="18">V52*(1+$S$111+$R$15*T52/36500)</f>
        <v>0</v>
      </c>
      <c r="X52" s="32">
        <f t="shared" si="15"/>
        <v>0</v>
      </c>
      <c r="Y52" s="32">
        <f t="shared" si="16"/>
        <v>0</v>
      </c>
      <c r="Z52" s="94">
        <v>19196</v>
      </c>
      <c r="AA52" s="120"/>
      <c r="AB52" s="94"/>
      <c r="AI52" s="97">
        <v>33</v>
      </c>
      <c r="AJ52" s="111" t="s">
        <v>973</v>
      </c>
      <c r="AK52" s="111">
        <v>-90000</v>
      </c>
      <c r="AL52" s="97">
        <v>1</v>
      </c>
      <c r="AM52" s="97">
        <f t="shared" si="9"/>
        <v>1191</v>
      </c>
      <c r="AN52" s="111">
        <f t="shared" si="10"/>
        <v>-107190000</v>
      </c>
      <c r="AO52" s="97"/>
      <c r="AR52" s="94"/>
      <c r="AS52" s="94"/>
      <c r="AT52" s="94"/>
    </row>
    <row r="53" spans="1:46">
      <c r="A53" s="61">
        <v>1400</v>
      </c>
      <c r="B53" s="11">
        <v>51</v>
      </c>
      <c r="C53" s="44">
        <f t="shared" si="4"/>
        <v>5327274.4119174667</v>
      </c>
      <c r="D53" s="3">
        <f t="shared" si="5"/>
        <v>4327498.2551603541</v>
      </c>
      <c r="E53" s="3">
        <f t="shared" si="11"/>
        <v>531175300.80017978</v>
      </c>
      <c r="F53" s="3"/>
      <c r="G53" s="11"/>
      <c r="H53" s="97"/>
      <c r="I53" s="190"/>
      <c r="J53" s="126"/>
      <c r="K53" s="205"/>
      <c r="L53" s="115"/>
      <c r="M53" s="19" t="s">
        <v>5836</v>
      </c>
      <c r="N53" s="111">
        <f t="shared" si="17"/>
        <v>0</v>
      </c>
      <c r="O53" s="97">
        <v>0</v>
      </c>
      <c r="P53" s="97">
        <v>3420</v>
      </c>
      <c r="Q53" s="67"/>
      <c r="R53" s="167" t="s">
        <v>25</v>
      </c>
      <c r="S53" s="205" t="s">
        <v>5667</v>
      </c>
      <c r="T53" s="193">
        <f>T52-7</f>
        <v>487</v>
      </c>
      <c r="U53" s="205" t="s">
        <v>6255</v>
      </c>
      <c r="V53" s="205">
        <v>1100</v>
      </c>
      <c r="W53" s="205">
        <f t="shared" si="18"/>
        <v>1527.6679452054796</v>
      </c>
      <c r="X53" s="32">
        <f t="shared" si="15"/>
        <v>1558.2213041095893</v>
      </c>
      <c r="Y53" s="32">
        <f t="shared" si="16"/>
        <v>1588.7746630136987</v>
      </c>
      <c r="Z53" s="94">
        <v>101322</v>
      </c>
      <c r="AA53" s="120"/>
      <c r="AB53" s="94"/>
      <c r="AI53" s="97">
        <v>34</v>
      </c>
      <c r="AJ53" s="111" t="s">
        <v>4035</v>
      </c>
      <c r="AK53" s="111">
        <v>5600000</v>
      </c>
      <c r="AL53" s="97">
        <v>4</v>
      </c>
      <c r="AM53" s="97">
        <f t="shared" si="9"/>
        <v>1190</v>
      </c>
      <c r="AN53" s="111">
        <f t="shared" si="10"/>
        <v>6664000000</v>
      </c>
      <c r="AO53" s="97"/>
    </row>
    <row r="54" spans="1:46">
      <c r="A54" s="61">
        <v>1400</v>
      </c>
      <c r="B54" s="11">
        <v>52</v>
      </c>
      <c r="C54" s="47">
        <f t="shared" si="4"/>
        <v>5380547.1560366414</v>
      </c>
      <c r="D54" s="3">
        <f t="shared" si="5"/>
        <v>4370773.2377119577</v>
      </c>
      <c r="E54" s="3">
        <f t="shared" si="11"/>
        <v>542808580.73450804</v>
      </c>
      <c r="F54" s="3"/>
      <c r="G54" s="11"/>
      <c r="H54" s="97"/>
      <c r="I54" s="190"/>
      <c r="J54" s="126"/>
      <c r="K54" s="241"/>
      <c r="L54" s="115"/>
      <c r="M54" s="19" t="s">
        <v>5815</v>
      </c>
      <c r="N54" s="111">
        <f t="shared" si="17"/>
        <v>0</v>
      </c>
      <c r="O54" s="97">
        <v>0</v>
      </c>
      <c r="P54" s="97">
        <v>8463</v>
      </c>
      <c r="Q54" s="67"/>
      <c r="R54" s="167"/>
      <c r="S54" s="205" t="s">
        <v>963</v>
      </c>
      <c r="T54" s="282">
        <f>T53-20</f>
        <v>467</v>
      </c>
      <c r="U54" s="205" t="s">
        <v>5689</v>
      </c>
      <c r="V54" s="205"/>
      <c r="W54" s="205">
        <f t="shared" si="18"/>
        <v>0</v>
      </c>
      <c r="X54" s="32">
        <f t="shared" si="15"/>
        <v>0</v>
      </c>
      <c r="Y54" s="32">
        <f t="shared" si="16"/>
        <v>0</v>
      </c>
      <c r="Z54" s="94">
        <v>948</v>
      </c>
      <c r="AA54" s="120"/>
      <c r="AB54" s="94"/>
      <c r="AI54" s="97">
        <v>35</v>
      </c>
      <c r="AJ54" s="111" t="s">
        <v>3963</v>
      </c>
      <c r="AK54" s="111">
        <v>750000</v>
      </c>
      <c r="AL54" s="97">
        <v>2</v>
      </c>
      <c r="AM54" s="97">
        <f t="shared" si="9"/>
        <v>1186</v>
      </c>
      <c r="AN54" s="111">
        <f t="shared" si="10"/>
        <v>889500000</v>
      </c>
      <c r="AO54" s="97"/>
    </row>
    <row r="55" spans="1:46">
      <c r="A55" s="61">
        <v>1400</v>
      </c>
      <c r="B55" s="11">
        <v>53</v>
      </c>
      <c r="C55" s="47">
        <f t="shared" si="4"/>
        <v>5434352.6275970079</v>
      </c>
      <c r="D55" s="3">
        <f t="shared" si="5"/>
        <v>4414480.970089077</v>
      </c>
      <c r="E55" s="3">
        <f t="shared" si="11"/>
        <v>554684624.00670612</v>
      </c>
      <c r="F55" s="3"/>
      <c r="G55" s="11"/>
      <c r="H55" s="97"/>
      <c r="I55" s="190"/>
      <c r="J55" s="126"/>
      <c r="K55" s="205"/>
      <c r="L55" s="115"/>
      <c r="M55" s="166" t="s">
        <v>6260</v>
      </c>
      <c r="N55" s="111">
        <f t="shared" si="17"/>
        <v>0</v>
      </c>
      <c r="O55" s="97">
        <v>0</v>
      </c>
      <c r="P55" s="97">
        <v>1</v>
      </c>
      <c r="Q55" s="67"/>
      <c r="R55" s="167" t="s">
        <v>25</v>
      </c>
      <c r="S55" s="205" t="s">
        <v>5720</v>
      </c>
      <c r="T55" s="193">
        <f>T54-22</f>
        <v>445</v>
      </c>
      <c r="U55" s="205" t="s">
        <v>6767</v>
      </c>
      <c r="V55" s="205">
        <v>1302</v>
      </c>
      <c r="W55" s="205">
        <f t="shared" si="18"/>
        <v>1766.2539616438357</v>
      </c>
      <c r="X55" s="32">
        <f t="shared" si="15"/>
        <v>1801.5790408767125</v>
      </c>
      <c r="Y55" s="32">
        <f t="shared" si="16"/>
        <v>1836.9041201095893</v>
      </c>
      <c r="Z55">
        <v>88178</v>
      </c>
      <c r="AA55" s="120" t="s">
        <v>25</v>
      </c>
      <c r="AB55" s="94"/>
      <c r="AI55" s="169">
        <v>36</v>
      </c>
      <c r="AJ55" s="168" t="s">
        <v>3973</v>
      </c>
      <c r="AK55" s="168">
        <v>-4242000</v>
      </c>
      <c r="AL55" s="169">
        <v>2</v>
      </c>
      <c r="AM55" s="169">
        <f t="shared" si="9"/>
        <v>1184</v>
      </c>
      <c r="AN55" s="168">
        <f t="shared" si="10"/>
        <v>-5022528000</v>
      </c>
      <c r="AO55" s="169" t="s">
        <v>4044</v>
      </c>
    </row>
    <row r="56" spans="1:46">
      <c r="A56" s="61">
        <v>1400</v>
      </c>
      <c r="B56" s="11">
        <v>54</v>
      </c>
      <c r="C56" s="47">
        <f t="shared" si="4"/>
        <v>5488696.1538729779</v>
      </c>
      <c r="D56" s="3">
        <f t="shared" si="5"/>
        <v>4458625.7797899675</v>
      </c>
      <c r="E56" s="3">
        <f t="shared" si="11"/>
        <v>566808386.86092329</v>
      </c>
      <c r="F56" s="3"/>
      <c r="G56" s="11"/>
      <c r="H56" s="97"/>
      <c r="I56" s="190"/>
      <c r="J56" s="126"/>
      <c r="K56" s="205"/>
      <c r="L56" s="115"/>
      <c r="M56" s="21" t="s">
        <v>1068</v>
      </c>
      <c r="N56" s="115">
        <f>O56*P56</f>
        <v>0</v>
      </c>
      <c r="O56" s="67">
        <v>0</v>
      </c>
      <c r="P56" s="67">
        <v>1220000</v>
      </c>
      <c r="Q56" s="67"/>
      <c r="R56" s="167"/>
      <c r="S56" s="205" t="s">
        <v>6254</v>
      </c>
      <c r="T56" s="193">
        <f>T55-196</f>
        <v>249</v>
      </c>
      <c r="U56" s="205" t="s">
        <v>6256</v>
      </c>
      <c r="V56" s="205">
        <v>1343</v>
      </c>
      <c r="W56" s="205">
        <f t="shared" si="18"/>
        <v>1619.944997260274</v>
      </c>
      <c r="X56" s="32">
        <f t="shared" ref="X56:X61" si="19">W56*(1+$X$19/100)</f>
        <v>1652.3438972054796</v>
      </c>
      <c r="Y56" s="32">
        <f t="shared" ref="Y56:Y61" si="20">W56*(1+$Y$19/100)</f>
        <v>1684.742797150685</v>
      </c>
      <c r="Z56" s="120"/>
      <c r="AA56" s="120">
        <v>11006</v>
      </c>
      <c r="AB56" s="94">
        <f>AA56*3</f>
        <v>33018</v>
      </c>
      <c r="AI56" s="97">
        <v>37</v>
      </c>
      <c r="AJ56" s="111" t="s">
        <v>3973</v>
      </c>
      <c r="AK56" s="111">
        <v>4100000</v>
      </c>
      <c r="AL56" s="97">
        <v>0</v>
      </c>
      <c r="AM56" s="97">
        <f t="shared" si="9"/>
        <v>1182</v>
      </c>
      <c r="AN56" s="111">
        <f t="shared" si="10"/>
        <v>4846200000</v>
      </c>
      <c r="AO56" s="97"/>
    </row>
    <row r="57" spans="1:46">
      <c r="A57" s="61">
        <v>1400</v>
      </c>
      <c r="B57" s="11">
        <v>55</v>
      </c>
      <c r="C57" s="48">
        <f t="shared" si="4"/>
        <v>5543583.1154117081</v>
      </c>
      <c r="D57" s="3">
        <f t="shared" si="5"/>
        <v>4503212.0375878671</v>
      </c>
      <c r="E57" s="3">
        <f t="shared" si="11"/>
        <v>579184925.67596567</v>
      </c>
      <c r="F57" s="3"/>
      <c r="G57" s="11"/>
      <c r="H57" s="97"/>
      <c r="I57" s="190"/>
      <c r="J57" s="126"/>
      <c r="K57" s="205"/>
      <c r="L57" s="115"/>
      <c r="M57" s="71" t="s">
        <v>5049</v>
      </c>
      <c r="N57" s="115">
        <f>O57*P57</f>
        <v>0</v>
      </c>
      <c r="O57" s="67">
        <v>0</v>
      </c>
      <c r="P57" s="67">
        <v>28531</v>
      </c>
      <c r="Q57" s="67"/>
      <c r="R57" s="167"/>
      <c r="S57" s="205" t="s">
        <v>6257</v>
      </c>
      <c r="T57" s="193">
        <f>T56-1</f>
        <v>248</v>
      </c>
      <c r="U57" s="205" t="s">
        <v>6258</v>
      </c>
      <c r="V57" s="205">
        <v>1350.4</v>
      </c>
      <c r="W57" s="205">
        <f t="shared" si="18"/>
        <v>1627.8350553424661</v>
      </c>
      <c r="X57" s="32">
        <f t="shared" si="19"/>
        <v>1660.3917564493156</v>
      </c>
      <c r="Y57" s="32">
        <f t="shared" si="20"/>
        <v>1692.9484575561648</v>
      </c>
      <c r="Z57" s="120"/>
      <c r="AA57" s="120">
        <v>48370</v>
      </c>
      <c r="AB57" s="423">
        <f>AA57*3</f>
        <v>145110</v>
      </c>
      <c r="AI57" s="97">
        <v>38</v>
      </c>
      <c r="AJ57" s="111" t="s">
        <v>3979</v>
      </c>
      <c r="AK57" s="111">
        <v>4100000</v>
      </c>
      <c r="AL57" s="97">
        <v>1</v>
      </c>
      <c r="AM57" s="97">
        <f t="shared" si="9"/>
        <v>1182</v>
      </c>
      <c r="AN57" s="111">
        <f t="shared" si="10"/>
        <v>4846200000</v>
      </c>
      <c r="AO57" s="97"/>
    </row>
    <row r="58" spans="1:46" ht="18.75">
      <c r="A58" s="61">
        <v>1400</v>
      </c>
      <c r="B58" s="11">
        <v>56</v>
      </c>
      <c r="C58" s="48">
        <f t="shared" si="4"/>
        <v>5599018.9465658255</v>
      </c>
      <c r="D58" s="3">
        <f t="shared" si="5"/>
        <v>4548244.1579637462</v>
      </c>
      <c r="E58" s="3">
        <f t="shared" si="11"/>
        <v>591819398.97808707</v>
      </c>
      <c r="F58" s="3"/>
      <c r="G58" s="11"/>
      <c r="H58" s="97"/>
      <c r="I58" s="365"/>
      <c r="J58" s="366"/>
      <c r="K58" s="205"/>
      <c r="L58" s="115"/>
      <c r="M58" s="166" t="s">
        <v>1134</v>
      </c>
      <c r="N58" s="115">
        <v>14908</v>
      </c>
      <c r="O58" s="72">
        <v>1</v>
      </c>
      <c r="P58" t="s">
        <v>25</v>
      </c>
      <c r="R58" s="167"/>
      <c r="S58" s="205" t="s">
        <v>6261</v>
      </c>
      <c r="T58" s="193">
        <f>T57-4</f>
        <v>244</v>
      </c>
      <c r="U58" s="205" t="s">
        <v>6262</v>
      </c>
      <c r="V58" s="205">
        <v>1350.3</v>
      </c>
      <c r="W58" s="205">
        <f t="shared" si="18"/>
        <v>1623.5711243835617</v>
      </c>
      <c r="X58" s="32">
        <f t="shared" si="19"/>
        <v>1656.0425468712331</v>
      </c>
      <c r="Y58" s="32">
        <f t="shared" si="20"/>
        <v>1688.5139693589042</v>
      </c>
      <c r="Z58" s="120"/>
      <c r="AA58" s="120">
        <v>8875</v>
      </c>
      <c r="AB58" s="423">
        <f>AA58*3</f>
        <v>26625</v>
      </c>
      <c r="AI58" s="97">
        <v>39</v>
      </c>
      <c r="AJ58" s="111" t="s">
        <v>3988</v>
      </c>
      <c r="AK58" s="111">
        <v>790000</v>
      </c>
      <c r="AL58" s="97">
        <v>15</v>
      </c>
      <c r="AM58" s="97">
        <f t="shared" si="9"/>
        <v>1181</v>
      </c>
      <c r="AN58" s="111">
        <f t="shared" si="10"/>
        <v>932990000</v>
      </c>
      <c r="AO58" s="97"/>
    </row>
    <row r="59" spans="1:46">
      <c r="A59" s="61">
        <v>1400</v>
      </c>
      <c r="B59" s="11">
        <v>57</v>
      </c>
      <c r="C59" s="48">
        <f t="shared" si="4"/>
        <v>5655009.1360314842</v>
      </c>
      <c r="D59" s="3">
        <f t="shared" si="5"/>
        <v>4593726.5995433833</v>
      </c>
      <c r="E59" s="3">
        <f t="shared" si="11"/>
        <v>604717069.49413705</v>
      </c>
      <c r="F59" s="3"/>
      <c r="G59" s="11"/>
      <c r="H59" s="11"/>
      <c r="J59" s="112"/>
      <c r="K59" s="205"/>
      <c r="L59" s="205"/>
      <c r="M59" s="166" t="s">
        <v>1135</v>
      </c>
      <c r="N59" s="115">
        <v>5282</v>
      </c>
      <c r="O59" s="94"/>
      <c r="P59" t="s">
        <v>25</v>
      </c>
      <c r="R59" s="167"/>
      <c r="S59" s="205" t="s">
        <v>6269</v>
      </c>
      <c r="T59" s="193">
        <f>T58-1</f>
        <v>243</v>
      </c>
      <c r="U59" s="205" t="s">
        <v>6271</v>
      </c>
      <c r="V59" s="205">
        <v>1375.2</v>
      </c>
      <c r="W59" s="205">
        <f t="shared" si="18"/>
        <v>1652.4553906849317</v>
      </c>
      <c r="X59" s="32">
        <f t="shared" si="19"/>
        <v>1685.5044984986303</v>
      </c>
      <c r="Y59" s="32">
        <f t="shared" si="20"/>
        <v>1718.5536063123291</v>
      </c>
      <c r="Z59" s="120"/>
      <c r="AA59" s="120">
        <v>26514</v>
      </c>
      <c r="AB59" s="423">
        <f>AA59*3</f>
        <v>79542</v>
      </c>
      <c r="AC59" s="94"/>
      <c r="AD59" s="94"/>
      <c r="AI59" s="169">
        <v>40</v>
      </c>
      <c r="AJ59" s="168" t="s">
        <v>4019</v>
      </c>
      <c r="AK59" s="168">
        <v>-3865000</v>
      </c>
      <c r="AL59" s="169">
        <v>6</v>
      </c>
      <c r="AM59" s="169">
        <f t="shared" si="9"/>
        <v>1166</v>
      </c>
      <c r="AN59" s="170">
        <f t="shared" si="10"/>
        <v>-4506590000</v>
      </c>
      <c r="AO59" s="169" t="s">
        <v>4045</v>
      </c>
    </row>
    <row r="60" spans="1:46">
      <c r="A60" s="61">
        <v>1400</v>
      </c>
      <c r="B60" s="11">
        <v>58</v>
      </c>
      <c r="C60" s="3">
        <f t="shared" si="4"/>
        <v>5711559.227391799</v>
      </c>
      <c r="D60" s="3">
        <f t="shared" si="5"/>
        <v>4639663.8655388169</v>
      </c>
      <c r="E60" s="3">
        <f t="shared" si="11"/>
        <v>617883306.24587286</v>
      </c>
      <c r="F60" s="3"/>
      <c r="G60" s="11"/>
      <c r="H60" s="11"/>
      <c r="K60" s="4"/>
      <c r="L60" s="115" t="s">
        <v>25</v>
      </c>
      <c r="M60" s="166"/>
      <c r="N60" s="111"/>
      <c r="O60" s="113"/>
      <c r="P60" s="113"/>
      <c r="R60" s="167"/>
      <c r="S60" s="205" t="s">
        <v>6274</v>
      </c>
      <c r="T60" s="193">
        <f>T59-1</f>
        <v>242</v>
      </c>
      <c r="U60" s="205" t="s">
        <v>6275</v>
      </c>
      <c r="V60" s="205">
        <v>1406</v>
      </c>
      <c r="W60" s="205">
        <f t="shared" si="18"/>
        <v>1688.3864328767124</v>
      </c>
      <c r="X60" s="32">
        <f t="shared" si="19"/>
        <v>1722.1541615342467</v>
      </c>
      <c r="Y60" s="32">
        <f t="shared" si="20"/>
        <v>1755.9218901917809</v>
      </c>
      <c r="Z60" s="120"/>
      <c r="AA60" s="120">
        <v>19133</v>
      </c>
      <c r="AB60" s="423">
        <f>AA60*3</f>
        <v>57399</v>
      </c>
      <c r="AC60" s="94"/>
      <c r="AD60" s="94"/>
      <c r="AI60" s="20">
        <v>41</v>
      </c>
      <c r="AJ60" s="115" t="s">
        <v>4049</v>
      </c>
      <c r="AK60" s="115">
        <v>18800000</v>
      </c>
      <c r="AL60" s="20">
        <v>3</v>
      </c>
      <c r="AM60" s="97">
        <f t="shared" si="9"/>
        <v>1160</v>
      </c>
      <c r="AN60" s="111">
        <f t="shared" si="10"/>
        <v>21808000000</v>
      </c>
      <c r="AO60" s="20"/>
    </row>
    <row r="61" spans="1:46">
      <c r="A61" s="61">
        <v>1400</v>
      </c>
      <c r="B61" s="11">
        <v>59</v>
      </c>
      <c r="C61" s="3">
        <f t="shared" si="4"/>
        <v>5768674.819665717</v>
      </c>
      <c r="D61" s="3">
        <f t="shared" si="5"/>
        <v>4686060.5041942047</v>
      </c>
      <c r="E61" s="3">
        <f t="shared" si="11"/>
        <v>631323586.68626177</v>
      </c>
      <c r="F61" s="3"/>
      <c r="G61" s="11"/>
      <c r="H61" s="11"/>
      <c r="K61" s="205"/>
      <c r="L61" s="115"/>
      <c r="M61" s="166"/>
      <c r="N61" s="111"/>
      <c r="P61" t="s">
        <v>25</v>
      </c>
      <c r="R61" s="167"/>
      <c r="S61" s="205" t="s">
        <v>955</v>
      </c>
      <c r="T61" s="193">
        <f>T115-1085</f>
        <v>181</v>
      </c>
      <c r="U61" s="205" t="s">
        <v>6863</v>
      </c>
      <c r="V61" s="205">
        <v>539</v>
      </c>
      <c r="W61" s="205">
        <f t="shared" si="18"/>
        <v>622.0325808219178</v>
      </c>
      <c r="X61" s="32">
        <f t="shared" si="19"/>
        <v>634.47323243835615</v>
      </c>
      <c r="Y61" s="32">
        <f t="shared" si="20"/>
        <v>646.91388405479449</v>
      </c>
      <c r="Z61" s="120"/>
      <c r="AA61" s="120"/>
      <c r="AB61" s="423">
        <v>3179</v>
      </c>
      <c r="AC61" s="94"/>
      <c r="AD61" s="94"/>
      <c r="AI61" s="20">
        <v>42</v>
      </c>
      <c r="AJ61" s="115" t="s">
        <v>4065</v>
      </c>
      <c r="AK61" s="115">
        <v>500000</v>
      </c>
      <c r="AL61" s="20">
        <v>1</v>
      </c>
      <c r="AM61" s="97">
        <f t="shared" si="9"/>
        <v>1157</v>
      </c>
      <c r="AN61" s="111">
        <f t="shared" si="10"/>
        <v>578500000</v>
      </c>
      <c r="AO61" s="20"/>
    </row>
    <row r="62" spans="1:46">
      <c r="A62" s="61">
        <v>1400</v>
      </c>
      <c r="B62" s="11">
        <v>60</v>
      </c>
      <c r="C62" s="3">
        <f t="shared" si="4"/>
        <v>5826361.5678623738</v>
      </c>
      <c r="D62" s="3">
        <f t="shared" si="5"/>
        <v>4732921.1092361463</v>
      </c>
      <c r="E62" s="46">
        <f t="shared" si="11"/>
        <v>645043498.87861323</v>
      </c>
      <c r="F62" s="3"/>
      <c r="G62" s="11"/>
      <c r="H62" s="11"/>
      <c r="K62" s="205"/>
      <c r="L62" s="205"/>
      <c r="M62" s="166"/>
      <c r="N62" s="111"/>
      <c r="P62" t="s">
        <v>25</v>
      </c>
      <c r="R62" s="167"/>
      <c r="S62" s="205" t="s">
        <v>6769</v>
      </c>
      <c r="T62" s="193">
        <f>T115-1138</f>
        <v>128</v>
      </c>
      <c r="U62" s="205" t="s">
        <v>6770</v>
      </c>
      <c r="V62" s="205">
        <v>1500</v>
      </c>
      <c r="W62" s="205">
        <f t="shared" si="18"/>
        <v>1670.0876712328768</v>
      </c>
      <c r="X62" s="32">
        <f t="shared" ref="X62:X78" si="21">W62*(1+$X$19/100)</f>
        <v>1703.4894246575343</v>
      </c>
      <c r="Y62" s="32">
        <f t="shared" ref="Y62:Y78" si="22">W62*(1+$Y$19/100)</f>
        <v>1736.891178082192</v>
      </c>
      <c r="Z62" s="120">
        <v>65644</v>
      </c>
      <c r="AA62" s="120"/>
      <c r="AB62" s="393"/>
      <c r="AC62" s="94"/>
      <c r="AD62" s="94"/>
      <c r="AI62" s="20">
        <v>43</v>
      </c>
      <c r="AJ62" s="115" t="s">
        <v>4069</v>
      </c>
      <c r="AK62" s="115">
        <v>200000</v>
      </c>
      <c r="AL62" s="20">
        <v>3</v>
      </c>
      <c r="AM62" s="97">
        <f>AM63+AL62</f>
        <v>1156</v>
      </c>
      <c r="AN62" s="111">
        <f t="shared" si="10"/>
        <v>231200000</v>
      </c>
      <c r="AO62" s="20"/>
    </row>
    <row r="63" spans="1:46">
      <c r="E63" s="26"/>
      <c r="J63" s="112"/>
      <c r="K63" s="205"/>
      <c r="L63" s="115"/>
      <c r="M63" s="166"/>
      <c r="N63" s="111"/>
      <c r="P63" t="s">
        <v>25</v>
      </c>
      <c r="Q63" s="113"/>
      <c r="R63" s="167"/>
      <c r="S63" s="205" t="s">
        <v>6821</v>
      </c>
      <c r="T63" s="193">
        <f>T115-1144</f>
        <v>122</v>
      </c>
      <c r="U63" s="205" t="s">
        <v>6822</v>
      </c>
      <c r="V63" s="205">
        <v>1590</v>
      </c>
      <c r="W63" s="205">
        <f t="shared" si="18"/>
        <v>1762.9745753424659</v>
      </c>
      <c r="X63" s="32">
        <f t="shared" si="21"/>
        <v>1798.2340668493152</v>
      </c>
      <c r="Y63" s="32">
        <f t="shared" si="22"/>
        <v>1833.4935583561646</v>
      </c>
      <c r="Z63" s="120">
        <v>101</v>
      </c>
      <c r="AA63" s="120"/>
      <c r="AB63" s="399"/>
      <c r="AC63" s="94" t="s">
        <v>25</v>
      </c>
      <c r="AD63" s="94"/>
      <c r="AI63" s="20">
        <v>44</v>
      </c>
      <c r="AJ63" s="115" t="s">
        <v>4076</v>
      </c>
      <c r="AK63" s="115">
        <v>1000000</v>
      </c>
      <c r="AL63" s="20">
        <v>3</v>
      </c>
      <c r="AM63" s="97">
        <f t="shared" si="9"/>
        <v>1153</v>
      </c>
      <c r="AN63" s="111">
        <f t="shared" si="10"/>
        <v>1153000000</v>
      </c>
      <c r="AO63" s="20"/>
    </row>
    <row r="64" spans="1:46">
      <c r="E64" s="26"/>
      <c r="J64" s="112"/>
      <c r="K64" s="205" t="s">
        <v>5496</v>
      </c>
      <c r="L64" s="115"/>
      <c r="M64" s="166" t="s">
        <v>4401</v>
      </c>
      <c r="N64" s="111">
        <f>-X160</f>
        <v>-116051382.57130367</v>
      </c>
      <c r="P64" t="s">
        <v>25</v>
      </c>
      <c r="Q64" s="120"/>
      <c r="R64" s="167"/>
      <c r="S64" s="205" t="s">
        <v>6850</v>
      </c>
      <c r="T64" s="193">
        <f>T115-1164</f>
        <v>102</v>
      </c>
      <c r="U64" s="205" t="s">
        <v>6851</v>
      </c>
      <c r="V64" s="205">
        <v>1420</v>
      </c>
      <c r="W64" s="205">
        <f t="shared" si="18"/>
        <v>1552.6941369863014</v>
      </c>
      <c r="X64" s="32">
        <f t="shared" si="21"/>
        <v>1583.7480197260275</v>
      </c>
      <c r="Y64" s="32">
        <f t="shared" si="22"/>
        <v>1614.8019024657535</v>
      </c>
      <c r="Z64" s="120">
        <v>126426</v>
      </c>
      <c r="AA64" s="120"/>
      <c r="AB64" s="399"/>
      <c r="AC64" s="94" t="s">
        <v>25</v>
      </c>
      <c r="AD64" s="94"/>
      <c r="AI64" s="20">
        <v>45</v>
      </c>
      <c r="AJ64" s="115" t="s">
        <v>4088</v>
      </c>
      <c r="AK64" s="115">
        <v>1300000</v>
      </c>
      <c r="AL64" s="20">
        <v>0</v>
      </c>
      <c r="AM64" s="97">
        <f>AM65+AL64</f>
        <v>1150</v>
      </c>
      <c r="AN64" s="111">
        <f t="shared" si="10"/>
        <v>1495000000</v>
      </c>
      <c r="AO64" s="20"/>
    </row>
    <row r="65" spans="1:41" ht="45">
      <c r="J65" s="112"/>
      <c r="K65" s="241" t="s">
        <v>5518</v>
      </c>
      <c r="L65" s="115">
        <v>-1605910</v>
      </c>
      <c r="M65" s="166"/>
      <c r="N65" s="111"/>
      <c r="P65" t="s">
        <v>25</v>
      </c>
      <c r="R65" s="167"/>
      <c r="S65" s="205" t="s">
        <v>6852</v>
      </c>
      <c r="T65" s="193">
        <f>T115-1165</f>
        <v>101</v>
      </c>
      <c r="U65" s="205" t="s">
        <v>6944</v>
      </c>
      <c r="V65" s="205">
        <v>1437</v>
      </c>
      <c r="W65" s="205">
        <f t="shared" si="18"/>
        <v>1570.1803726027399</v>
      </c>
      <c r="X65" s="32">
        <f t="shared" si="21"/>
        <v>1601.5839800547947</v>
      </c>
      <c r="Y65" s="32">
        <f t="shared" si="22"/>
        <v>1632.9875875068496</v>
      </c>
      <c r="Z65" s="120">
        <v>88990</v>
      </c>
      <c r="AA65" s="120"/>
      <c r="AB65" s="399"/>
      <c r="AD65" s="94"/>
      <c r="AI65" s="20">
        <v>45</v>
      </c>
      <c r="AJ65" s="115" t="s">
        <v>4088</v>
      </c>
      <c r="AK65" s="115">
        <v>995000</v>
      </c>
      <c r="AL65" s="20">
        <v>2</v>
      </c>
      <c r="AM65" s="97">
        <f t="shared" ref="AM65:AM92" si="23">AM66+AL65</f>
        <v>1150</v>
      </c>
      <c r="AN65" s="111">
        <f t="shared" si="10"/>
        <v>1144250000</v>
      </c>
      <c r="AO65" s="20"/>
    </row>
    <row r="66" spans="1:41">
      <c r="K66" s="205"/>
      <c r="L66" s="115"/>
      <c r="M66" s="166"/>
      <c r="N66" s="111"/>
      <c r="Q66" s="113"/>
      <c r="R66" s="167"/>
      <c r="S66" s="205" t="s">
        <v>6864</v>
      </c>
      <c r="T66" s="193">
        <f>T115-1185</f>
        <v>81</v>
      </c>
      <c r="U66" s="205" t="s">
        <v>6884</v>
      </c>
      <c r="V66" s="205">
        <v>432</v>
      </c>
      <c r="W66" s="205">
        <f t="shared" si="18"/>
        <v>465.40957808219184</v>
      </c>
      <c r="X66" s="32">
        <f t="shared" si="21"/>
        <v>474.71776964383571</v>
      </c>
      <c r="Y66" s="32">
        <f t="shared" si="22"/>
        <v>484.02596120547952</v>
      </c>
      <c r="Z66" s="120"/>
      <c r="AA66" s="120"/>
      <c r="AB66" s="427">
        <v>140597</v>
      </c>
      <c r="AD66" s="94"/>
      <c r="AI66" s="20">
        <v>46</v>
      </c>
      <c r="AJ66" s="115" t="s">
        <v>4097</v>
      </c>
      <c r="AK66" s="115">
        <v>13000000</v>
      </c>
      <c r="AL66" s="20">
        <v>2</v>
      </c>
      <c r="AM66" s="97">
        <f t="shared" si="23"/>
        <v>1148</v>
      </c>
      <c r="AN66" s="111">
        <f t="shared" si="10"/>
        <v>14924000000</v>
      </c>
      <c r="AO66" s="20"/>
    </row>
    <row r="67" spans="1:41">
      <c r="A67" t="s">
        <v>25</v>
      </c>
      <c r="F67" t="s">
        <v>310</v>
      </c>
      <c r="G67" s="9" t="s">
        <v>4080</v>
      </c>
      <c r="I67" s="94" t="s">
        <v>6184</v>
      </c>
      <c r="K67" s="205"/>
      <c r="L67" s="115"/>
      <c r="M67" s="166"/>
      <c r="N67" s="111">
        <f>SUM(N16:N66)</f>
        <v>10329726287.428696</v>
      </c>
      <c r="P67" t="s">
        <v>25</v>
      </c>
      <c r="Q67" s="113"/>
      <c r="R67" s="167"/>
      <c r="S67" s="205" t="s">
        <v>6888</v>
      </c>
      <c r="T67" s="193">
        <f>T115-1205</f>
        <v>61</v>
      </c>
      <c r="U67" s="205" t="s">
        <v>6889</v>
      </c>
      <c r="V67" s="205">
        <v>432</v>
      </c>
      <c r="W67" s="205">
        <f t="shared" si="18"/>
        <v>458.78163287671237</v>
      </c>
      <c r="X67" s="32">
        <f t="shared" si="21"/>
        <v>467.95726553424663</v>
      </c>
      <c r="Y67" s="32">
        <f t="shared" si="22"/>
        <v>477.1328981917809</v>
      </c>
      <c r="Z67" s="120"/>
      <c r="AA67" s="120"/>
      <c r="AB67" s="438">
        <v>141</v>
      </c>
      <c r="AD67" s="94"/>
      <c r="AI67" s="20">
        <v>47</v>
      </c>
      <c r="AJ67" s="115" t="s">
        <v>4110</v>
      </c>
      <c r="AK67" s="115">
        <v>-3100000</v>
      </c>
      <c r="AL67" s="20">
        <v>3</v>
      </c>
      <c r="AM67" s="97">
        <f t="shared" si="23"/>
        <v>1146</v>
      </c>
      <c r="AN67" s="111">
        <f t="shared" si="10"/>
        <v>-3552600000</v>
      </c>
      <c r="AO67" s="20"/>
    </row>
    <row r="68" spans="1:41">
      <c r="F68" t="s">
        <v>4084</v>
      </c>
      <c r="G68" s="9" t="s">
        <v>4079</v>
      </c>
      <c r="I68" s="120" t="s">
        <v>6185</v>
      </c>
      <c r="K68" s="205" t="s">
        <v>592</v>
      </c>
      <c r="L68" s="111">
        <f>SUM(L16:L49)</f>
        <v>-426255755.80420732</v>
      </c>
      <c r="M68" s="166"/>
      <c r="N68" s="111">
        <f>N16+N17+N40</f>
        <v>141053</v>
      </c>
      <c r="P68" t="s">
        <v>25</v>
      </c>
      <c r="R68" s="167"/>
      <c r="S68" s="205" t="s">
        <v>6890</v>
      </c>
      <c r="T68" s="193">
        <f>T115-1207</f>
        <v>59</v>
      </c>
      <c r="U68" s="205" t="s">
        <v>6891</v>
      </c>
      <c r="V68" s="205">
        <v>422</v>
      </c>
      <c r="W68" s="205">
        <f t="shared" si="18"/>
        <v>447.51423561643838</v>
      </c>
      <c r="X68" s="32">
        <f t="shared" si="21"/>
        <v>456.46452032876715</v>
      </c>
      <c r="Y68" s="32">
        <f t="shared" si="22"/>
        <v>465.41480504109592</v>
      </c>
      <c r="Z68" s="120"/>
      <c r="AA68" s="120"/>
      <c r="AB68" s="440">
        <v>114123</v>
      </c>
      <c r="AD68" s="94"/>
      <c r="AI68" s="20">
        <v>48</v>
      </c>
      <c r="AJ68" s="115" t="s">
        <v>4125</v>
      </c>
      <c r="AK68" s="115">
        <v>45640000</v>
      </c>
      <c r="AL68" s="20">
        <v>1</v>
      </c>
      <c r="AM68" s="97">
        <f t="shared" si="23"/>
        <v>1143</v>
      </c>
      <c r="AN68" s="111">
        <f t="shared" si="10"/>
        <v>52166520000</v>
      </c>
      <c r="AO68" s="20"/>
    </row>
    <row r="69" spans="1:41">
      <c r="F69" t="s">
        <v>4085</v>
      </c>
      <c r="G69" s="9" t="s">
        <v>4081</v>
      </c>
      <c r="I69" s="112" t="s">
        <v>6186</v>
      </c>
      <c r="K69" s="205" t="s">
        <v>593</v>
      </c>
      <c r="L69" s="111">
        <f>L16+L17+L34</f>
        <v>-398202218.80420732</v>
      </c>
      <c r="M69" s="111"/>
      <c r="N69" s="166"/>
      <c r="O69" s="113"/>
      <c r="P69" s="113" t="s">
        <v>25</v>
      </c>
      <c r="R69" s="167"/>
      <c r="S69" s="205" t="s">
        <v>987</v>
      </c>
      <c r="T69" s="193">
        <f>T115-1211</f>
        <v>55</v>
      </c>
      <c r="U69" s="205" t="s">
        <v>6892</v>
      </c>
      <c r="V69" s="205">
        <v>411</v>
      </c>
      <c r="W69" s="205">
        <f t="shared" si="18"/>
        <v>434.58802191780831</v>
      </c>
      <c r="X69" s="32">
        <f t="shared" si="21"/>
        <v>443.2797823561645</v>
      </c>
      <c r="Y69" s="32">
        <f t="shared" si="22"/>
        <v>451.97154279452064</v>
      </c>
      <c r="Z69" s="120"/>
      <c r="AA69" s="120"/>
      <c r="AB69" s="427">
        <v>15466</v>
      </c>
      <c r="AD69" s="94"/>
      <c r="AI69" s="20">
        <v>49</v>
      </c>
      <c r="AJ69" s="115" t="s">
        <v>4129</v>
      </c>
      <c r="AK69" s="115">
        <v>33500000</v>
      </c>
      <c r="AL69" s="20">
        <v>1</v>
      </c>
      <c r="AM69" s="97">
        <f t="shared" si="23"/>
        <v>1142</v>
      </c>
      <c r="AN69" s="111">
        <f t="shared" si="10"/>
        <v>38257000000</v>
      </c>
      <c r="AO69" s="20"/>
    </row>
    <row r="70" spans="1:41">
      <c r="G70" t="s">
        <v>4082</v>
      </c>
      <c r="I70" s="120" t="s">
        <v>6192</v>
      </c>
      <c r="K70" s="54" t="s">
        <v>708</v>
      </c>
      <c r="L70" s="111">
        <f>L68+N7</f>
        <v>-326255755.80420732</v>
      </c>
      <c r="R70" s="167"/>
      <c r="S70" s="205" t="s">
        <v>6895</v>
      </c>
      <c r="T70" s="193">
        <f>T115-1214</f>
        <v>52</v>
      </c>
      <c r="U70" s="205" t="s">
        <v>6896</v>
      </c>
      <c r="V70" s="205">
        <v>400</v>
      </c>
      <c r="W70" s="205">
        <f t="shared" si="18"/>
        <v>422.03616438356164</v>
      </c>
      <c r="X70" s="32">
        <f t="shared" si="21"/>
        <v>430.47688767123287</v>
      </c>
      <c r="Y70" s="32">
        <f t="shared" si="22"/>
        <v>438.91761095890411</v>
      </c>
      <c r="Z70" s="120"/>
      <c r="AA70" s="120"/>
      <c r="AB70" s="441">
        <v>32558</v>
      </c>
      <c r="AI70" s="20">
        <v>50</v>
      </c>
      <c r="AJ70" s="115" t="s">
        <v>4134</v>
      </c>
      <c r="AK70" s="115">
        <v>12000000</v>
      </c>
      <c r="AL70" s="20">
        <v>1</v>
      </c>
      <c r="AM70" s="97">
        <f t="shared" si="23"/>
        <v>1141</v>
      </c>
      <c r="AN70" s="115">
        <f t="shared" si="10"/>
        <v>13692000000</v>
      </c>
      <c r="AO70" s="20"/>
    </row>
    <row r="71" spans="1:41">
      <c r="G71" t="s">
        <v>4083</v>
      </c>
      <c r="M71" s="25"/>
      <c r="R71" s="167"/>
      <c r="S71" s="205" t="s">
        <v>6897</v>
      </c>
      <c r="T71" s="193">
        <f>T115-1217</f>
        <v>49</v>
      </c>
      <c r="U71" s="205" t="s">
        <v>6903</v>
      </c>
      <c r="V71" s="205">
        <v>395</v>
      </c>
      <c r="W71" s="205">
        <f t="shared" si="18"/>
        <v>415.8516712328767</v>
      </c>
      <c r="X71" s="32">
        <f t="shared" si="21"/>
        <v>424.16870465753425</v>
      </c>
      <c r="Y71" s="32">
        <f t="shared" si="22"/>
        <v>432.4857380821918</v>
      </c>
      <c r="Z71" s="120"/>
      <c r="AA71" s="120"/>
      <c r="AB71" s="441">
        <v>41934</v>
      </c>
      <c r="AI71" s="20">
        <v>51</v>
      </c>
      <c r="AJ71" s="115" t="s">
        <v>4139</v>
      </c>
      <c r="AK71" s="115">
        <v>15500000</v>
      </c>
      <c r="AL71" s="20">
        <v>4</v>
      </c>
      <c r="AM71" s="97">
        <f t="shared" si="23"/>
        <v>1140</v>
      </c>
      <c r="AN71" s="115">
        <f t="shared" si="10"/>
        <v>17670000000</v>
      </c>
      <c r="AO71" s="20"/>
    </row>
    <row r="72" spans="1:41">
      <c r="G72" t="s">
        <v>4087</v>
      </c>
      <c r="Q72" s="113"/>
      <c r="R72" s="167"/>
      <c r="S72" s="205" t="s">
        <v>6915</v>
      </c>
      <c r="T72" s="193">
        <f>T115-1260</f>
        <v>6</v>
      </c>
      <c r="U72" s="205" t="s">
        <v>6917</v>
      </c>
      <c r="V72" s="205">
        <v>405</v>
      </c>
      <c r="W72" s="205">
        <f t="shared" si="18"/>
        <v>413.02010958904111</v>
      </c>
      <c r="X72" s="32">
        <f t="shared" si="21"/>
        <v>421.28051178082194</v>
      </c>
      <c r="Y72" s="32">
        <f t="shared" si="22"/>
        <v>429.54091397260277</v>
      </c>
      <c r="Z72" s="120"/>
      <c r="AA72" s="120"/>
      <c r="AB72" s="445">
        <v>110761</v>
      </c>
      <c r="AC72" t="s">
        <v>25</v>
      </c>
      <c r="AI72" s="20">
        <v>52</v>
      </c>
      <c r="AJ72" s="115" t="s">
        <v>4143</v>
      </c>
      <c r="AK72" s="115">
        <v>150000</v>
      </c>
      <c r="AL72" s="20">
        <v>1</v>
      </c>
      <c r="AM72" s="97">
        <f t="shared" si="23"/>
        <v>1136</v>
      </c>
      <c r="AN72" s="115">
        <f t="shared" si="10"/>
        <v>170400000</v>
      </c>
      <c r="AO72" s="20"/>
    </row>
    <row r="73" spans="1:41">
      <c r="G73" t="s">
        <v>4086</v>
      </c>
      <c r="R73" s="167"/>
      <c r="S73" s="205" t="s">
        <v>6920</v>
      </c>
      <c r="T73" s="193">
        <f>T115-1262</f>
        <v>4</v>
      </c>
      <c r="U73" s="205" t="s">
        <v>6922</v>
      </c>
      <c r="V73" s="205">
        <v>410</v>
      </c>
      <c r="W73" s="205">
        <f t="shared" si="18"/>
        <v>417.49008219178091</v>
      </c>
      <c r="X73" s="32">
        <f t="shared" si="21"/>
        <v>425.83988383561655</v>
      </c>
      <c r="Y73" s="32">
        <f t="shared" si="22"/>
        <v>434.18968547945218</v>
      </c>
      <c r="Z73" s="120"/>
      <c r="AA73" s="120"/>
      <c r="AB73" s="450">
        <v>296115</v>
      </c>
      <c r="AI73" s="177">
        <v>53</v>
      </c>
      <c r="AJ73" s="178" t="s">
        <v>4149</v>
      </c>
      <c r="AK73" s="178">
        <v>29000000</v>
      </c>
      <c r="AL73" s="177">
        <v>15</v>
      </c>
      <c r="AM73" s="177">
        <f t="shared" si="23"/>
        <v>1135</v>
      </c>
      <c r="AN73" s="178">
        <f t="shared" si="10"/>
        <v>32915000000</v>
      </c>
      <c r="AO73" s="177" t="s">
        <v>4159</v>
      </c>
    </row>
    <row r="74" spans="1:41">
      <c r="J74" s="205" t="s">
        <v>4480</v>
      </c>
      <c r="K74" s="205" t="s">
        <v>4595</v>
      </c>
      <c r="L74" s="32" t="s">
        <v>4597</v>
      </c>
      <c r="M74" s="32" t="s">
        <v>4572</v>
      </c>
      <c r="N74" s="205" t="s">
        <v>4573</v>
      </c>
      <c r="Q74" s="389" t="s">
        <v>25</v>
      </c>
      <c r="R74" s="167"/>
      <c r="S74" s="205" t="s">
        <v>6942</v>
      </c>
      <c r="T74" s="193">
        <f>T115-1266</f>
        <v>0</v>
      </c>
      <c r="U74" s="205" t="s">
        <v>6943</v>
      </c>
      <c r="V74" s="205">
        <v>406.5</v>
      </c>
      <c r="W74" s="205">
        <f t="shared" si="18"/>
        <v>412.67880000000002</v>
      </c>
      <c r="X74" s="32">
        <f t="shared" si="21"/>
        <v>420.93237600000003</v>
      </c>
      <c r="Y74" s="32">
        <f t="shared" si="22"/>
        <v>429.18595200000004</v>
      </c>
      <c r="Z74" s="120"/>
      <c r="AA74" s="120"/>
      <c r="AB74" s="452">
        <v>119646</v>
      </c>
      <c r="AC74" s="94"/>
      <c r="AD74" t="s">
        <v>25</v>
      </c>
      <c r="AI74" s="20">
        <v>54</v>
      </c>
      <c r="AJ74" s="115" t="s">
        <v>4183</v>
      </c>
      <c r="AK74" s="115">
        <v>-130000</v>
      </c>
      <c r="AL74" s="20">
        <v>7</v>
      </c>
      <c r="AM74" s="97">
        <f t="shared" si="23"/>
        <v>1120</v>
      </c>
      <c r="AN74" s="115">
        <f t="shared" si="10"/>
        <v>-145600000</v>
      </c>
      <c r="AO74" s="20" t="s">
        <v>4185</v>
      </c>
    </row>
    <row r="75" spans="1:41">
      <c r="H75" s="25"/>
      <c r="I75" s="94"/>
      <c r="J75" s="206" t="s">
        <v>4216</v>
      </c>
      <c r="K75" s="195">
        <v>837</v>
      </c>
      <c r="L75" s="207">
        <f t="shared" ref="L75:L80" si="24">K75*$L$83</f>
        <v>10211400000</v>
      </c>
      <c r="M75" s="207">
        <f>N28+N35+N48</f>
        <v>7018459425</v>
      </c>
      <c r="N75" s="181">
        <f t="shared" ref="N75:N80" si="25">L75-M75</f>
        <v>3192940575</v>
      </c>
      <c r="R75" s="167"/>
      <c r="S75" s="205"/>
      <c r="T75" s="193"/>
      <c r="U75" s="205"/>
      <c r="V75" s="205"/>
      <c r="W75" s="205"/>
      <c r="X75" s="32"/>
      <c r="Y75" s="32"/>
      <c r="Z75" s="120"/>
      <c r="AA75" s="120"/>
      <c r="AB75" s="452"/>
      <c r="AC75" s="94"/>
      <c r="AI75" s="20">
        <v>55</v>
      </c>
      <c r="AJ75" s="115" t="s">
        <v>4231</v>
      </c>
      <c r="AK75" s="115">
        <v>232000</v>
      </c>
      <c r="AL75" s="20">
        <v>2</v>
      </c>
      <c r="AM75" s="97">
        <f t="shared" si="23"/>
        <v>1113</v>
      </c>
      <c r="AN75" s="115">
        <f>AK75*AM75</f>
        <v>258216000</v>
      </c>
      <c r="AO75" s="20" t="s">
        <v>4233</v>
      </c>
    </row>
    <row r="76" spans="1:41">
      <c r="D76" s="3"/>
      <c r="E76" s="11" t="s">
        <v>304</v>
      </c>
      <c r="H76" s="175"/>
      <c r="I76" s="94"/>
      <c r="J76" s="32" t="s">
        <v>5261</v>
      </c>
      <c r="K76" s="205">
        <v>229</v>
      </c>
      <c r="L76" s="1">
        <f t="shared" si="24"/>
        <v>2793800000</v>
      </c>
      <c r="M76" s="1">
        <f>N49+N36+N29</f>
        <v>3013551540</v>
      </c>
      <c r="N76" s="111">
        <f t="shared" si="25"/>
        <v>-219751540</v>
      </c>
      <c r="R76" s="167"/>
      <c r="S76" s="205"/>
      <c r="T76" s="193"/>
      <c r="U76" s="205"/>
      <c r="V76" s="205"/>
      <c r="W76" s="205"/>
      <c r="X76" s="32"/>
      <c r="Y76" s="32"/>
      <c r="Z76" s="120"/>
      <c r="AA76" s="120"/>
      <c r="AB76" s="450"/>
      <c r="AC76" s="94" t="s">
        <v>25</v>
      </c>
      <c r="AI76" s="20">
        <v>56</v>
      </c>
      <c r="AJ76" s="115" t="s">
        <v>4241</v>
      </c>
      <c r="AK76" s="115">
        <v>-170000</v>
      </c>
      <c r="AL76" s="20">
        <v>3</v>
      </c>
      <c r="AM76" s="97">
        <f t="shared" si="23"/>
        <v>1111</v>
      </c>
      <c r="AN76" s="115">
        <f t="shared" si="10"/>
        <v>-188870000</v>
      </c>
      <c r="AO76" s="20"/>
    </row>
    <row r="77" spans="1:41">
      <c r="D77" s="1" t="s">
        <v>305</v>
      </c>
      <c r="E77" s="1">
        <v>70000</v>
      </c>
      <c r="H77" s="94"/>
      <c r="I77" s="94"/>
      <c r="J77" s="206" t="s">
        <v>4358</v>
      </c>
      <c r="K77" s="195">
        <v>0</v>
      </c>
      <c r="L77" s="207">
        <f t="shared" si="24"/>
        <v>0</v>
      </c>
      <c r="M77" s="207">
        <f>N52</f>
        <v>0</v>
      </c>
      <c r="N77" s="181">
        <f t="shared" si="25"/>
        <v>0</v>
      </c>
      <c r="P77" t="s">
        <v>25</v>
      </c>
      <c r="Q77" s="113"/>
      <c r="R77" s="167"/>
      <c r="S77" s="205"/>
      <c r="T77" s="193"/>
      <c r="U77" s="205"/>
      <c r="V77" s="205"/>
      <c r="W77" s="205"/>
      <c r="X77" s="32"/>
      <c r="Y77" s="32"/>
      <c r="Z77" s="120"/>
      <c r="AA77" s="120"/>
      <c r="AB77" s="441"/>
      <c r="AI77" s="20">
        <v>57</v>
      </c>
      <c r="AJ77" s="115" t="s">
        <v>4255</v>
      </c>
      <c r="AK77" s="115">
        <v>-300000</v>
      </c>
      <c r="AL77" s="20">
        <v>3</v>
      </c>
      <c r="AM77" s="97">
        <f t="shared" si="23"/>
        <v>1108</v>
      </c>
      <c r="AN77" s="115">
        <f t="shared" si="10"/>
        <v>-332400000</v>
      </c>
      <c r="AO77" s="20"/>
    </row>
    <row r="78" spans="1:41">
      <c r="D78" s="1" t="s">
        <v>321</v>
      </c>
      <c r="E78" s="1">
        <v>100000</v>
      </c>
      <c r="H78" s="120" t="s">
        <v>4372</v>
      </c>
      <c r="J78" s="260" t="s">
        <v>5282</v>
      </c>
      <c r="K78" s="187">
        <v>0</v>
      </c>
      <c r="L78" s="261">
        <f t="shared" si="24"/>
        <v>0</v>
      </c>
      <c r="M78" s="261">
        <f>N26+N34+N47</f>
        <v>591</v>
      </c>
      <c r="N78" s="186">
        <f t="shared" si="25"/>
        <v>-591</v>
      </c>
      <c r="P78" s="113"/>
      <c r="R78" s="167" t="s">
        <v>25</v>
      </c>
      <c r="S78" s="166" t="s">
        <v>25</v>
      </c>
      <c r="T78" s="166" t="s">
        <v>25</v>
      </c>
      <c r="U78" s="166" t="s">
        <v>25</v>
      </c>
      <c r="V78" s="166"/>
      <c r="W78" s="205" t="e">
        <f>V78*(1+$S$111+$R$15*T78/36500)</f>
        <v>#VALUE!</v>
      </c>
      <c r="X78" s="32" t="e">
        <f t="shared" si="21"/>
        <v>#VALUE!</v>
      </c>
      <c r="Y78" s="32" t="e">
        <f t="shared" si="22"/>
        <v>#VALUE!</v>
      </c>
      <c r="Z78" s="120"/>
      <c r="AA78" s="120" t="s">
        <v>25</v>
      </c>
      <c r="AB78" s="94"/>
      <c r="AE78" s="113"/>
      <c r="AF78" s="113"/>
      <c r="AI78" s="20">
        <v>58</v>
      </c>
      <c r="AJ78" s="115" t="s">
        <v>4264</v>
      </c>
      <c r="AK78" s="115">
        <v>-11400000</v>
      </c>
      <c r="AL78" s="20">
        <v>13</v>
      </c>
      <c r="AM78" s="97">
        <f t="shared" ref="AM78:AM83" si="26">AM79+AL78</f>
        <v>1105</v>
      </c>
      <c r="AN78" s="115">
        <f t="shared" si="10"/>
        <v>-12597000000</v>
      </c>
      <c r="AO78" s="20"/>
    </row>
    <row r="79" spans="1:41">
      <c r="D79" s="1" t="s">
        <v>306</v>
      </c>
      <c r="E79" s="1">
        <v>80000</v>
      </c>
      <c r="H79" s="120"/>
      <c r="I79" s="94"/>
      <c r="J79" s="206" t="s">
        <v>314</v>
      </c>
      <c r="K79" s="195">
        <v>0</v>
      </c>
      <c r="L79" s="207">
        <f t="shared" si="24"/>
        <v>0</v>
      </c>
      <c r="M79" s="207">
        <f>N50+N30+N55+N27</f>
        <v>0</v>
      </c>
      <c r="N79" s="181">
        <f t="shared" si="25"/>
        <v>0</v>
      </c>
      <c r="R79" s="167">
        <f>SUM(N28:N31)-SUM(R20:R78)</f>
        <v>1647847247.6758094</v>
      </c>
      <c r="S79" s="166" t="s">
        <v>25</v>
      </c>
      <c r="T79" s="166" t="s">
        <v>25</v>
      </c>
      <c r="U79" s="166" t="s">
        <v>25</v>
      </c>
      <c r="V79" s="166"/>
      <c r="W79" s="166"/>
      <c r="X79" s="32"/>
      <c r="Y79" s="32"/>
      <c r="Z79" t="s">
        <v>25</v>
      </c>
      <c r="AA79" s="120"/>
      <c r="AB79" t="s">
        <v>25</v>
      </c>
      <c r="AD79" s="113" t="s">
        <v>25</v>
      </c>
      <c r="AE79" s="113"/>
      <c r="AF79" s="113"/>
      <c r="AG79"/>
      <c r="AI79" s="20">
        <v>59</v>
      </c>
      <c r="AJ79" s="115" t="s">
        <v>4313</v>
      </c>
      <c r="AK79" s="115">
        <v>-10000000</v>
      </c>
      <c r="AL79" s="20">
        <v>1</v>
      </c>
      <c r="AM79" s="97">
        <f t="shared" si="26"/>
        <v>1092</v>
      </c>
      <c r="AN79" s="115">
        <f>AK79*AM79</f>
        <v>-10920000000</v>
      </c>
      <c r="AO79" s="20"/>
    </row>
    <row r="80" spans="1:41">
      <c r="D80" s="31" t="s">
        <v>307</v>
      </c>
      <c r="E80" s="1">
        <v>150000</v>
      </c>
      <c r="H80" s="120" t="s">
        <v>4514</v>
      </c>
      <c r="I80" s="94"/>
      <c r="J80" s="236" t="s">
        <v>6873</v>
      </c>
      <c r="K80" s="189">
        <v>-244</v>
      </c>
      <c r="L80" s="237">
        <f t="shared" si="24"/>
        <v>-2976800000</v>
      </c>
      <c r="M80" s="237">
        <v>0</v>
      </c>
      <c r="N80" s="84">
        <f t="shared" si="25"/>
        <v>-2976800000</v>
      </c>
      <c r="S80" s="113" t="s">
        <v>25</v>
      </c>
      <c r="T80" s="113" t="s">
        <v>25</v>
      </c>
      <c r="U80" s="120" t="s">
        <v>25</v>
      </c>
      <c r="V80" s="113" t="s">
        <v>25</v>
      </c>
      <c r="W80" s="113" t="s">
        <v>25</v>
      </c>
      <c r="X80" s="190" t="s">
        <v>25</v>
      </c>
      <c r="Y80" s="190"/>
      <c r="AA80" s="120" t="s">
        <v>25</v>
      </c>
      <c r="AB80" t="s">
        <v>25</v>
      </c>
      <c r="AC80" s="113"/>
      <c r="AD80" s="113"/>
      <c r="AE80" s="113"/>
      <c r="AF80" s="113"/>
      <c r="AG80"/>
      <c r="AI80" s="20">
        <v>60</v>
      </c>
      <c r="AJ80" s="115" t="s">
        <v>4314</v>
      </c>
      <c r="AK80" s="115">
        <v>-2450000</v>
      </c>
      <c r="AL80" s="20">
        <v>5</v>
      </c>
      <c r="AM80" s="97">
        <f t="shared" si="26"/>
        <v>1091</v>
      </c>
      <c r="AN80" s="115">
        <f>AK80*AM80</f>
        <v>-2672950000</v>
      </c>
      <c r="AO80" s="20"/>
    </row>
    <row r="81" spans="4:53" ht="45">
      <c r="D81" s="31" t="s">
        <v>308</v>
      </c>
      <c r="E81" s="1">
        <v>300000</v>
      </c>
      <c r="H81" s="201" t="s">
        <v>4610</v>
      </c>
      <c r="I81" s="94"/>
      <c r="J81" s="32"/>
      <c r="K81" s="205"/>
      <c r="L81" s="1"/>
      <c r="M81" s="1"/>
      <c r="N81" s="111"/>
      <c r="R81" s="94" t="s">
        <v>25</v>
      </c>
      <c r="S81" s="113" t="s">
        <v>25</v>
      </c>
      <c r="T81" s="113"/>
      <c r="U81" s="113" t="s">
        <v>25</v>
      </c>
      <c r="V81" s="113" t="s">
        <v>25</v>
      </c>
      <c r="W81" s="120" t="s">
        <v>25</v>
      </c>
      <c r="X81" s="190"/>
      <c r="Y81" s="190" t="s">
        <v>25</v>
      </c>
      <c r="Z81" s="120" t="s">
        <v>25</v>
      </c>
      <c r="AA81" s="120" t="s">
        <v>25</v>
      </c>
      <c r="AB81" t="s">
        <v>25</v>
      </c>
      <c r="AC81" s="113"/>
      <c r="AE81" s="113"/>
      <c r="AF81" s="113"/>
      <c r="AG81" s="113"/>
      <c r="AI81" s="20">
        <v>61</v>
      </c>
      <c r="AJ81" s="115" t="s">
        <v>4338</v>
      </c>
      <c r="AK81" s="115">
        <v>-456081</v>
      </c>
      <c r="AL81" s="20">
        <v>1</v>
      </c>
      <c r="AM81" s="97">
        <f t="shared" si="26"/>
        <v>1086</v>
      </c>
      <c r="AN81" s="115">
        <f t="shared" si="10"/>
        <v>-495303966</v>
      </c>
      <c r="AO81" s="20"/>
    </row>
    <row r="82" spans="4:53" ht="31.5">
      <c r="D82" s="31" t="s">
        <v>309</v>
      </c>
      <c r="E82" s="1">
        <v>100000</v>
      </c>
      <c r="F82" s="204"/>
      <c r="G82" s="22" t="s">
        <v>4631</v>
      </c>
      <c r="H82" s="238" t="s">
        <v>4916</v>
      </c>
      <c r="I82" s="94"/>
      <c r="J82" s="206" t="s">
        <v>4979</v>
      </c>
      <c r="K82" s="195">
        <f>SUM(K75:K80)</f>
        <v>822</v>
      </c>
      <c r="L82" s="207"/>
      <c r="M82" s="207"/>
      <c r="N82" s="181"/>
      <c r="R82" s="166" t="s">
        <v>649</v>
      </c>
      <c r="S82" s="166"/>
      <c r="T82" s="166"/>
      <c r="U82" s="166"/>
      <c r="V82" s="166"/>
      <c r="W82" s="166"/>
      <c r="X82" s="32"/>
      <c r="Y82" s="32"/>
      <c r="AA82" t="s">
        <v>25</v>
      </c>
      <c r="AB82" s="113"/>
      <c r="AC82" s="113"/>
      <c r="AD82" s="113"/>
      <c r="AE82" s="113"/>
      <c r="AF82" s="113"/>
      <c r="AG82" s="113"/>
      <c r="AI82" s="20">
        <v>62</v>
      </c>
      <c r="AJ82" s="115" t="s">
        <v>4340</v>
      </c>
      <c r="AK82" s="115">
        <v>-500000</v>
      </c>
      <c r="AL82" s="20">
        <v>2</v>
      </c>
      <c r="AM82" s="97">
        <f t="shared" si="26"/>
        <v>1085</v>
      </c>
      <c r="AN82" s="115">
        <f t="shared" si="10"/>
        <v>-542500000</v>
      </c>
      <c r="AO82" s="20"/>
      <c r="AP82" t="s">
        <v>25</v>
      </c>
      <c r="AV82"/>
      <c r="AX82" t="s">
        <v>25</v>
      </c>
    </row>
    <row r="83" spans="4:53" ht="30">
      <c r="D83" s="31" t="s">
        <v>310</v>
      </c>
      <c r="E83" s="1">
        <v>200000</v>
      </c>
      <c r="F83" t="s">
        <v>4652</v>
      </c>
      <c r="H83" s="120"/>
      <c r="J83" s="32"/>
      <c r="K83" s="205">
        <v>0</v>
      </c>
      <c r="L83" s="39">
        <f>10*P56</f>
        <v>12200000</v>
      </c>
      <c r="M83" s="1">
        <f>K83*L83</f>
        <v>0</v>
      </c>
      <c r="N83" s="111">
        <f>SUM(N75:N81)-M83</f>
        <v>-3611556</v>
      </c>
      <c r="P83" s="113"/>
      <c r="R83" s="166" t="s">
        <v>267</v>
      </c>
      <c r="S83" s="166" t="s">
        <v>180</v>
      </c>
      <c r="T83" s="166" t="s">
        <v>183</v>
      </c>
      <c r="U83" s="166" t="s">
        <v>8</v>
      </c>
      <c r="V83" s="166" t="s">
        <v>4329</v>
      </c>
      <c r="W83" s="71" t="s">
        <v>4331</v>
      </c>
      <c r="X83" s="32">
        <v>2</v>
      </c>
      <c r="Y83" s="32">
        <v>4</v>
      </c>
      <c r="AB83" s="113" t="s">
        <v>25</v>
      </c>
      <c r="AC83" s="113"/>
      <c r="AD83" s="126"/>
      <c r="AE83" s="113"/>
      <c r="AF83" s="113"/>
      <c r="AG83" s="113"/>
      <c r="AI83" s="20">
        <v>63</v>
      </c>
      <c r="AJ83" s="115" t="s">
        <v>4356</v>
      </c>
      <c r="AK83" s="115">
        <v>-6234370</v>
      </c>
      <c r="AL83" s="20">
        <v>3</v>
      </c>
      <c r="AM83" s="97">
        <f t="shared" si="26"/>
        <v>1083</v>
      </c>
      <c r="AN83" s="115">
        <f t="shared" si="10"/>
        <v>-6751822710</v>
      </c>
      <c r="AO83" s="20"/>
      <c r="AV83"/>
    </row>
    <row r="84" spans="4:53">
      <c r="D84" s="18" t="s">
        <v>311</v>
      </c>
      <c r="E84" s="18">
        <v>300000</v>
      </c>
      <c r="F84" t="s">
        <v>4517</v>
      </c>
      <c r="G84" s="94"/>
      <c r="H84" s="94"/>
      <c r="I84" s="94"/>
      <c r="J84" s="206"/>
      <c r="K84" s="224"/>
      <c r="L84" s="207" t="s">
        <v>4226</v>
      </c>
      <c r="M84" s="207" t="s">
        <v>4589</v>
      </c>
      <c r="N84" s="181" t="s">
        <v>4590</v>
      </c>
      <c r="R84" s="166">
        <v>0</v>
      </c>
      <c r="S84" s="166" t="s">
        <v>4149</v>
      </c>
      <c r="T84" s="166">
        <f>T115</f>
        <v>1266</v>
      </c>
      <c r="U84" s="166"/>
      <c r="V84" s="166"/>
      <c r="W84" s="71"/>
      <c r="X84" s="32"/>
      <c r="Y84" s="32"/>
      <c r="AC84" s="113"/>
      <c r="AD84" s="126"/>
      <c r="AE84" s="113"/>
      <c r="AF84" s="113"/>
      <c r="AG84" s="113"/>
      <c r="AI84" s="20">
        <v>64</v>
      </c>
      <c r="AJ84" s="115" t="s">
        <v>4365</v>
      </c>
      <c r="AK84" s="115">
        <v>1950957</v>
      </c>
      <c r="AL84" s="20">
        <v>4</v>
      </c>
      <c r="AM84" s="97">
        <f t="shared" si="23"/>
        <v>1080</v>
      </c>
      <c r="AN84" s="115">
        <f t="shared" si="10"/>
        <v>2107033560</v>
      </c>
      <c r="AO84" s="20"/>
      <c r="BA84" t="s">
        <v>25</v>
      </c>
    </row>
    <row r="85" spans="4:53">
      <c r="D85" s="32" t="s">
        <v>312</v>
      </c>
      <c r="E85" s="1">
        <v>200000</v>
      </c>
      <c r="F85" t="s">
        <v>4707</v>
      </c>
      <c r="J85" s="458" t="s">
        <v>4596</v>
      </c>
      <c r="K85" s="459"/>
      <c r="L85" s="1"/>
      <c r="M85" s="1"/>
      <c r="N85" s="111"/>
      <c r="R85" s="167">
        <v>863944</v>
      </c>
      <c r="S85" s="166" t="s">
        <v>4394</v>
      </c>
      <c r="T85" s="166">
        <f>T84-62</f>
        <v>1204</v>
      </c>
      <c r="U85" s="188" t="s">
        <v>4453</v>
      </c>
      <c r="V85" s="166">
        <v>184.6</v>
      </c>
      <c r="W85" s="166">
        <f t="shared" ref="W85:W102" si="27">V85*(1+$S$111+$R$15*T85/36500)</f>
        <v>357.90551452054791</v>
      </c>
      <c r="X85" s="32">
        <f t="shared" ref="X85:X92" si="28">W85*(1+$X$19/100)</f>
        <v>365.06362481095886</v>
      </c>
      <c r="Y85" s="32">
        <f t="shared" ref="Y85:Y92" si="29">W85*(1+$Y$19/100)</f>
        <v>372.22173510136986</v>
      </c>
      <c r="Z85" s="94">
        <v>4661</v>
      </c>
      <c r="AB85" s="113"/>
      <c r="AC85" s="113"/>
      <c r="AD85" s="126"/>
      <c r="AE85" s="113"/>
      <c r="AF85" s="113"/>
      <c r="AG85" s="113"/>
      <c r="AI85" s="20">
        <v>65</v>
      </c>
      <c r="AJ85" s="115" t="s">
        <v>4388</v>
      </c>
      <c r="AK85" s="115">
        <v>600000</v>
      </c>
      <c r="AL85" s="20">
        <v>5</v>
      </c>
      <c r="AM85" s="97">
        <f t="shared" si="23"/>
        <v>1076</v>
      </c>
      <c r="AN85" s="115">
        <f t="shared" si="10"/>
        <v>645600000</v>
      </c>
      <c r="AO85" s="20"/>
    </row>
    <row r="86" spans="4:53">
      <c r="D86" s="32" t="s">
        <v>313</v>
      </c>
      <c r="E86" s="1">
        <v>20000</v>
      </c>
      <c r="F86" t="s">
        <v>4708</v>
      </c>
      <c r="R86" s="167">
        <v>1692313</v>
      </c>
      <c r="S86" s="166" t="s">
        <v>4456</v>
      </c>
      <c r="T86" s="193">
        <f>T85-21</f>
        <v>1183</v>
      </c>
      <c r="U86" s="187" t="s">
        <v>4457</v>
      </c>
      <c r="V86" s="166">
        <v>168.5</v>
      </c>
      <c r="W86" s="166">
        <f t="shared" si="27"/>
        <v>323.97610410958907</v>
      </c>
      <c r="X86" s="32">
        <f t="shared" si="28"/>
        <v>330.45562619178088</v>
      </c>
      <c r="Y86" s="32">
        <f t="shared" si="29"/>
        <v>336.93514827397263</v>
      </c>
      <c r="Z86" s="94">
        <v>10000</v>
      </c>
      <c r="AB86" s="113"/>
      <c r="AC86" s="113"/>
      <c r="AD86" s="126"/>
      <c r="AE86" s="113"/>
      <c r="AF86" s="113"/>
      <c r="AG86" s="113"/>
      <c r="AI86" s="20">
        <v>66</v>
      </c>
      <c r="AJ86" s="115" t="s">
        <v>4396</v>
      </c>
      <c r="AK86" s="115">
        <v>7500000</v>
      </c>
      <c r="AL86" s="20">
        <v>2</v>
      </c>
      <c r="AM86" s="97">
        <f t="shared" si="23"/>
        <v>1071</v>
      </c>
      <c r="AN86" s="115">
        <f t="shared" si="10"/>
        <v>8032500000</v>
      </c>
      <c r="AO86" s="20"/>
      <c r="AT86" s="94"/>
    </row>
    <row r="87" spans="4:53" ht="26.25">
      <c r="D87" s="32" t="s">
        <v>315</v>
      </c>
      <c r="E87" s="1">
        <v>50000</v>
      </c>
      <c r="F87" t="s">
        <v>4709</v>
      </c>
      <c r="H87" s="235"/>
      <c r="R87" s="167">
        <v>101153</v>
      </c>
      <c r="S87" s="166" t="s">
        <v>4459</v>
      </c>
      <c r="T87" s="193">
        <f>T86-1</f>
        <v>1182</v>
      </c>
      <c r="U87" s="187" t="s">
        <v>4461</v>
      </c>
      <c r="V87" s="166">
        <v>166.7</v>
      </c>
      <c r="W87" s="166">
        <f t="shared" si="27"/>
        <v>320.38735232876712</v>
      </c>
      <c r="X87" s="32">
        <f t="shared" si="28"/>
        <v>326.79509937534249</v>
      </c>
      <c r="Y87" s="32">
        <f t="shared" si="29"/>
        <v>333.2028464219178</v>
      </c>
      <c r="Z87" s="94">
        <v>604</v>
      </c>
      <c r="AB87" s="120" t="s">
        <v>25</v>
      </c>
      <c r="AC87" s="113"/>
      <c r="AD87" s="126"/>
      <c r="AE87" s="113"/>
      <c r="AF87" s="113"/>
      <c r="AG87" s="113"/>
      <c r="AI87" s="20">
        <v>67</v>
      </c>
      <c r="AJ87" s="115" t="s">
        <v>4400</v>
      </c>
      <c r="AK87" s="115">
        <v>-587816</v>
      </c>
      <c r="AL87" s="20">
        <v>3</v>
      </c>
      <c r="AM87" s="97">
        <f t="shared" si="23"/>
        <v>1069</v>
      </c>
      <c r="AN87" s="115">
        <f t="shared" si="10"/>
        <v>-628375304</v>
      </c>
      <c r="AO87" s="20"/>
      <c r="AT87" s="94"/>
    </row>
    <row r="88" spans="4:53">
      <c r="D88" s="32" t="s">
        <v>316</v>
      </c>
      <c r="E88" s="1">
        <v>90000</v>
      </c>
      <c r="F88" t="s">
        <v>4479</v>
      </c>
      <c r="R88" s="167">
        <v>183105</v>
      </c>
      <c r="S88" s="166" t="s">
        <v>4204</v>
      </c>
      <c r="T88" s="193">
        <f>T87-1</f>
        <v>1181</v>
      </c>
      <c r="U88" s="187" t="s">
        <v>4465</v>
      </c>
      <c r="V88" s="166">
        <v>166.6</v>
      </c>
      <c r="W88" s="166">
        <f t="shared" si="27"/>
        <v>320.06735561643836</v>
      </c>
      <c r="X88" s="32">
        <f t="shared" si="28"/>
        <v>326.46870272876714</v>
      </c>
      <c r="Y88" s="32">
        <f t="shared" si="29"/>
        <v>332.87004984109592</v>
      </c>
      <c r="Z88" s="94">
        <v>1094</v>
      </c>
      <c r="AB88" s="113" t="s">
        <v>25</v>
      </c>
      <c r="AC88" s="113"/>
      <c r="AD88" s="126"/>
      <c r="AE88" s="113"/>
      <c r="AF88" s="113"/>
      <c r="AG88" s="113"/>
      <c r="AI88" s="20">
        <v>68</v>
      </c>
      <c r="AJ88" s="115" t="s">
        <v>4399</v>
      </c>
      <c r="AK88" s="115">
        <v>-907489</v>
      </c>
      <c r="AL88" s="20">
        <v>0</v>
      </c>
      <c r="AM88" s="97">
        <f>AM89+AL88</f>
        <v>1066</v>
      </c>
      <c r="AN88" s="115">
        <f t="shared" si="10"/>
        <v>-967383274</v>
      </c>
      <c r="AO88" s="20"/>
      <c r="AQ88" t="s">
        <v>25</v>
      </c>
      <c r="AW88" t="s">
        <v>25</v>
      </c>
    </row>
    <row r="89" spans="4:53">
      <c r="D89" s="32" t="s">
        <v>317</v>
      </c>
      <c r="E89" s="1">
        <v>50000</v>
      </c>
      <c r="F89" t="s">
        <v>4520</v>
      </c>
      <c r="H89" s="240" t="s">
        <v>4921</v>
      </c>
      <c r="R89" s="167">
        <v>168846</v>
      </c>
      <c r="S89" s="166" t="s">
        <v>3673</v>
      </c>
      <c r="T89" s="193">
        <f>T88-30</f>
        <v>1151</v>
      </c>
      <c r="U89" s="187" t="s">
        <v>4547</v>
      </c>
      <c r="V89" s="166">
        <v>172.2</v>
      </c>
      <c r="W89" s="166">
        <f t="shared" si="27"/>
        <v>326.86296328767122</v>
      </c>
      <c r="X89" s="32">
        <f t="shared" si="28"/>
        <v>333.40022255342467</v>
      </c>
      <c r="Y89" s="32">
        <f t="shared" si="29"/>
        <v>339.93748181917806</v>
      </c>
      <c r="Z89" s="94">
        <v>976</v>
      </c>
      <c r="AB89" s="113"/>
      <c r="AD89" s="113" t="s">
        <v>25</v>
      </c>
      <c r="AE89" s="113"/>
      <c r="AF89" s="113"/>
      <c r="AG89" s="113"/>
      <c r="AH89" s="113"/>
      <c r="AI89" s="20">
        <v>69</v>
      </c>
      <c r="AJ89" s="115" t="s">
        <v>4399</v>
      </c>
      <c r="AK89" s="115">
        <v>2450000</v>
      </c>
      <c r="AL89" s="20">
        <v>1</v>
      </c>
      <c r="AM89" s="97">
        <f t="shared" si="23"/>
        <v>1066</v>
      </c>
      <c r="AN89" s="115">
        <f t="shared" si="10"/>
        <v>2611700000</v>
      </c>
      <c r="AO89" s="20" t="s">
        <v>4428</v>
      </c>
      <c r="AR89" t="s">
        <v>25</v>
      </c>
      <c r="AS89" t="s">
        <v>25</v>
      </c>
    </row>
    <row r="90" spans="4:53">
      <c r="D90" s="32" t="s">
        <v>327</v>
      </c>
      <c r="E90" s="1">
        <v>150000</v>
      </c>
      <c r="F90" t="s">
        <v>4478</v>
      </c>
      <c r="H90" s="240" t="s">
        <v>4922</v>
      </c>
      <c r="R90" s="167">
        <v>19918023</v>
      </c>
      <c r="S90" s="5" t="s">
        <v>4766</v>
      </c>
      <c r="T90" s="193">
        <f>T89-75</f>
        <v>1076</v>
      </c>
      <c r="U90" s="187" t="s">
        <v>4768</v>
      </c>
      <c r="V90" s="205">
        <v>183</v>
      </c>
      <c r="W90" s="205">
        <f t="shared" si="27"/>
        <v>336.83431232876711</v>
      </c>
      <c r="X90" s="32">
        <f t="shared" si="28"/>
        <v>343.57099857534246</v>
      </c>
      <c r="Y90" s="32">
        <f t="shared" si="29"/>
        <v>350.3076848219178</v>
      </c>
      <c r="Z90" s="94">
        <v>108344</v>
      </c>
      <c r="AA90" s="113"/>
      <c r="AB90" s="113"/>
      <c r="AD90" s="113"/>
      <c r="AE90" s="113"/>
      <c r="AF90"/>
      <c r="AH90" s="113"/>
      <c r="AI90" s="20">
        <v>70</v>
      </c>
      <c r="AJ90" s="115" t="s">
        <v>4430</v>
      </c>
      <c r="AK90" s="115">
        <v>1500000</v>
      </c>
      <c r="AL90" s="20">
        <v>1</v>
      </c>
      <c r="AM90" s="97">
        <f t="shared" si="23"/>
        <v>1065</v>
      </c>
      <c r="AN90" s="115">
        <f t="shared" si="10"/>
        <v>1597500000</v>
      </c>
      <c r="AO90" s="20"/>
      <c r="AQ90" t="s">
        <v>25</v>
      </c>
      <c r="AV90" s="94" t="s">
        <v>25</v>
      </c>
    </row>
    <row r="91" spans="4:53">
      <c r="D91" s="32" t="s">
        <v>318</v>
      </c>
      <c r="E91" s="1">
        <v>15000</v>
      </c>
      <c r="F91" s="22" t="s">
        <v>4216</v>
      </c>
      <c r="R91" s="167">
        <v>1200301</v>
      </c>
      <c r="S91" s="19" t="s">
        <v>4843</v>
      </c>
      <c r="T91" s="193">
        <f>T90-34</f>
        <v>1042</v>
      </c>
      <c r="U91" s="187" t="s">
        <v>4845</v>
      </c>
      <c r="V91" s="205">
        <v>218.5</v>
      </c>
      <c r="W91" s="205">
        <f t="shared" si="27"/>
        <v>396.47752876712326</v>
      </c>
      <c r="X91" s="32">
        <f t="shared" si="28"/>
        <v>404.40707934246575</v>
      </c>
      <c r="Y91" s="32">
        <f t="shared" si="29"/>
        <v>412.33662991780818</v>
      </c>
      <c r="Z91" s="94">
        <v>5468</v>
      </c>
      <c r="AA91" s="113"/>
      <c r="AB91" s="113"/>
      <c r="AF91"/>
      <c r="AH91" s="94"/>
      <c r="AI91" s="20">
        <v>71</v>
      </c>
      <c r="AJ91" s="115" t="s">
        <v>4436</v>
      </c>
      <c r="AK91" s="115">
        <v>2648000</v>
      </c>
      <c r="AL91" s="20">
        <v>1</v>
      </c>
      <c r="AM91" s="97">
        <f t="shared" si="23"/>
        <v>1064</v>
      </c>
      <c r="AN91" s="115">
        <f t="shared" si="10"/>
        <v>2817472000</v>
      </c>
      <c r="AO91" s="20" t="s">
        <v>4437</v>
      </c>
      <c r="AV91" s="94" t="s">
        <v>25</v>
      </c>
    </row>
    <row r="92" spans="4:53">
      <c r="D92" s="32" t="s">
        <v>319</v>
      </c>
      <c r="E92" s="1">
        <v>20000</v>
      </c>
      <c r="F92" t="s">
        <v>4475</v>
      </c>
      <c r="R92" s="167">
        <v>5837196.2537021004</v>
      </c>
      <c r="S92" s="19" t="s">
        <v>4867</v>
      </c>
      <c r="T92" s="193">
        <f>T91-16</f>
        <v>1026</v>
      </c>
      <c r="U92" s="187" t="s">
        <v>5589</v>
      </c>
      <c r="V92" s="205">
        <v>196.2</v>
      </c>
      <c r="W92" s="205">
        <f t="shared" si="27"/>
        <v>353.60507835616437</v>
      </c>
      <c r="X92" s="32">
        <f t="shared" si="28"/>
        <v>360.67717992328767</v>
      </c>
      <c r="Y92" s="32">
        <f t="shared" si="29"/>
        <v>367.74928149041097</v>
      </c>
      <c r="Z92" s="94">
        <v>29619</v>
      </c>
      <c r="AA92" s="113"/>
      <c r="AB92" s="113"/>
      <c r="AF92"/>
      <c r="AH92" s="94"/>
      <c r="AI92" s="20">
        <v>72</v>
      </c>
      <c r="AJ92" s="115" t="s">
        <v>4205</v>
      </c>
      <c r="AK92" s="115">
        <v>615000</v>
      </c>
      <c r="AL92" s="20">
        <v>4</v>
      </c>
      <c r="AM92" s="97">
        <f t="shared" si="23"/>
        <v>1063</v>
      </c>
      <c r="AN92" s="115">
        <f t="shared" si="10"/>
        <v>653745000</v>
      </c>
      <c r="AO92" s="20"/>
      <c r="AW92" t="s">
        <v>25</v>
      </c>
    </row>
    <row r="93" spans="4:53" ht="18.75">
      <c r="D93" s="32" t="s">
        <v>320</v>
      </c>
      <c r="E93" s="1">
        <v>40000</v>
      </c>
      <c r="F93" t="s">
        <v>4268</v>
      </c>
      <c r="H93" s="280" t="s">
        <v>6866</v>
      </c>
      <c r="R93" s="167">
        <v>2948152</v>
      </c>
      <c r="S93" s="19" t="s">
        <v>5624</v>
      </c>
      <c r="T93" s="193">
        <f>T92-498</f>
        <v>528</v>
      </c>
      <c r="U93" s="187" t="s">
        <v>5625</v>
      </c>
      <c r="V93" s="205">
        <v>1550</v>
      </c>
      <c r="W93" s="205">
        <f t="shared" si="27"/>
        <v>2201.3736986301369</v>
      </c>
      <c r="X93" s="32">
        <f t="shared" ref="X93:X99" si="30">W93*(1+$X$19/100)</f>
        <v>2245.4011726027397</v>
      </c>
      <c r="Y93" s="32">
        <f t="shared" ref="Y93:Y99" si="31">W93*(1+$Y$19/100)</f>
        <v>2289.4286465753426</v>
      </c>
      <c r="Z93" s="94">
        <v>1895</v>
      </c>
      <c r="AF93"/>
      <c r="AH93" s="94"/>
      <c r="AI93" s="20">
        <v>73</v>
      </c>
      <c r="AJ93" s="115" t="s">
        <v>4447</v>
      </c>
      <c r="AK93" s="115">
        <v>14000000</v>
      </c>
      <c r="AL93" s="20">
        <v>2</v>
      </c>
      <c r="AM93" s="97">
        <f>AM94+AL93</f>
        <v>1059</v>
      </c>
      <c r="AN93" s="115">
        <f t="shared" si="10"/>
        <v>14826000000</v>
      </c>
      <c r="AO93" s="20"/>
    </row>
    <row r="94" spans="4:53">
      <c r="D94" s="32" t="s">
        <v>322</v>
      </c>
      <c r="E94" s="1">
        <v>150000</v>
      </c>
      <c r="F94" s="94"/>
      <c r="G94" s="94"/>
      <c r="H94" s="94"/>
      <c r="I94" s="94" t="s">
        <v>25</v>
      </c>
      <c r="R94" s="167"/>
      <c r="S94" s="19" t="s">
        <v>5720</v>
      </c>
      <c r="T94" s="193">
        <f>T93-83</f>
        <v>445</v>
      </c>
      <c r="U94" s="187" t="s">
        <v>5721</v>
      </c>
      <c r="V94" s="205">
        <v>1275</v>
      </c>
      <c r="W94" s="205">
        <f t="shared" si="27"/>
        <v>1729.6265753424657</v>
      </c>
      <c r="X94" s="32">
        <f t="shared" si="30"/>
        <v>1764.219106849315</v>
      </c>
      <c r="Y94" s="32">
        <f t="shared" si="31"/>
        <v>1798.8116383561644</v>
      </c>
      <c r="Z94" s="94">
        <v>48654</v>
      </c>
      <c r="AI94" s="20">
        <v>74</v>
      </c>
      <c r="AJ94" s="115" t="s">
        <v>4451</v>
      </c>
      <c r="AK94" s="115">
        <v>1313000</v>
      </c>
      <c r="AL94" s="20">
        <v>0</v>
      </c>
      <c r="AM94" s="97">
        <f>AM95+AL94</f>
        <v>1057</v>
      </c>
      <c r="AN94" s="115">
        <f t="shared" si="10"/>
        <v>1387841000</v>
      </c>
      <c r="AO94" s="20"/>
      <c r="AR94" t="s">
        <v>25</v>
      </c>
    </row>
    <row r="95" spans="4:53">
      <c r="D95" s="32" t="s">
        <v>324</v>
      </c>
      <c r="E95" s="1">
        <v>75000</v>
      </c>
      <c r="F95" s="94"/>
      <c r="G95" s="94"/>
      <c r="H95" s="94"/>
      <c r="I95" s="94"/>
      <c r="R95" s="167"/>
      <c r="S95" s="19" t="s">
        <v>5728</v>
      </c>
      <c r="T95" s="193">
        <f>T94-5</f>
        <v>440</v>
      </c>
      <c r="U95" s="187" t="s">
        <v>5729</v>
      </c>
      <c r="V95" s="205">
        <v>1210</v>
      </c>
      <c r="W95" s="205">
        <f t="shared" si="27"/>
        <v>1636.8084383561647</v>
      </c>
      <c r="X95" s="32">
        <f t="shared" si="30"/>
        <v>1669.544607123288</v>
      </c>
      <c r="Y95" s="32">
        <f t="shared" si="31"/>
        <v>1702.2807758904114</v>
      </c>
      <c r="Z95" s="94">
        <v>450</v>
      </c>
      <c r="AA95" s="94"/>
      <c r="AB95" s="94"/>
      <c r="AI95" s="97">
        <v>75</v>
      </c>
      <c r="AJ95" s="111" t="s">
        <v>4451</v>
      </c>
      <c r="AK95" s="111">
        <v>2269000</v>
      </c>
      <c r="AL95" s="97">
        <v>1</v>
      </c>
      <c r="AM95" s="97">
        <f t="shared" ref="AM95:AM120" si="32">AM96+AL95</f>
        <v>1057</v>
      </c>
      <c r="AN95" s="115">
        <f t="shared" si="10"/>
        <v>2398333000</v>
      </c>
      <c r="AO95" s="97"/>
    </row>
    <row r="96" spans="4:53">
      <c r="D96" s="32" t="s">
        <v>314</v>
      </c>
      <c r="E96" s="1">
        <v>140000</v>
      </c>
      <c r="F96" s="94"/>
      <c r="G96" s="94"/>
      <c r="H96" s="94"/>
      <c r="I96" s="94" t="s">
        <v>25</v>
      </c>
      <c r="R96" s="167"/>
      <c r="S96" s="19" t="s">
        <v>5734</v>
      </c>
      <c r="T96" s="193">
        <f>T95-4</f>
        <v>436</v>
      </c>
      <c r="U96" s="187" t="s">
        <v>5735</v>
      </c>
      <c r="V96" s="205">
        <v>1175</v>
      </c>
      <c r="W96" s="205">
        <f t="shared" si="27"/>
        <v>1585.8572602739728</v>
      </c>
      <c r="X96" s="32">
        <f t="shared" si="30"/>
        <v>1617.5744054794523</v>
      </c>
      <c r="Y96" s="32">
        <f t="shared" si="31"/>
        <v>1649.2915506849317</v>
      </c>
      <c r="Z96" s="94">
        <v>27754</v>
      </c>
      <c r="AA96" s="94"/>
      <c r="AB96" s="94"/>
      <c r="AI96" s="97">
        <v>76</v>
      </c>
      <c r="AJ96" s="111" t="s">
        <v>4206</v>
      </c>
      <c r="AK96" s="111">
        <v>750000</v>
      </c>
      <c r="AL96" s="97">
        <v>4</v>
      </c>
      <c r="AM96" s="97">
        <f t="shared" si="32"/>
        <v>1056</v>
      </c>
      <c r="AN96" s="115">
        <f t="shared" si="10"/>
        <v>792000000</v>
      </c>
      <c r="AO96" s="97"/>
      <c r="AR96" t="s">
        <v>25</v>
      </c>
    </row>
    <row r="97" spans="4:48">
      <c r="D97" s="2" t="s">
        <v>476</v>
      </c>
      <c r="E97" s="3">
        <v>1083333</v>
      </c>
      <c r="F97" s="313"/>
      <c r="G97" s="313"/>
      <c r="H97" s="313"/>
      <c r="I97" s="313"/>
      <c r="R97" s="167"/>
      <c r="S97" s="19" t="s">
        <v>5736</v>
      </c>
      <c r="T97" s="193">
        <f>T96-3</f>
        <v>433</v>
      </c>
      <c r="U97" s="187" t="s">
        <v>5737</v>
      </c>
      <c r="V97" s="205">
        <v>1148</v>
      </c>
      <c r="W97" s="205">
        <f t="shared" si="27"/>
        <v>1546.7743123287673</v>
      </c>
      <c r="X97" s="32">
        <f t="shared" si="30"/>
        <v>1577.7097985753428</v>
      </c>
      <c r="Y97" s="32">
        <f t="shared" si="31"/>
        <v>1608.645284821918</v>
      </c>
      <c r="Z97" s="94">
        <v>8020</v>
      </c>
      <c r="AA97" s="94"/>
      <c r="AB97" s="94"/>
      <c r="AI97" s="97">
        <v>77</v>
      </c>
      <c r="AJ97" s="111" t="s">
        <v>4456</v>
      </c>
      <c r="AK97" s="111">
        <v>1900000</v>
      </c>
      <c r="AL97" s="97">
        <v>3</v>
      </c>
      <c r="AM97" s="97">
        <f t="shared" si="32"/>
        <v>1052</v>
      </c>
      <c r="AN97" s="115">
        <f t="shared" si="10"/>
        <v>1998800000</v>
      </c>
      <c r="AO97" s="97"/>
    </row>
    <row r="98" spans="4:48">
      <c r="D98" s="2"/>
      <c r="E98" s="3"/>
      <c r="F98" s="94"/>
      <c r="G98" s="94"/>
      <c r="H98" s="94"/>
      <c r="I98" s="94"/>
      <c r="R98" s="167"/>
      <c r="S98" s="19" t="s">
        <v>5740</v>
      </c>
      <c r="T98" s="193">
        <f>T97-1</f>
        <v>432</v>
      </c>
      <c r="U98" s="187" t="s">
        <v>5741</v>
      </c>
      <c r="V98" s="205">
        <v>1141</v>
      </c>
      <c r="W98" s="205">
        <f t="shared" si="27"/>
        <v>1536.4674739726029</v>
      </c>
      <c r="X98" s="32">
        <f t="shared" si="30"/>
        <v>1567.196823452055</v>
      </c>
      <c r="Y98" s="32">
        <f t="shared" si="31"/>
        <v>1597.9261729315072</v>
      </c>
      <c r="Z98" s="94">
        <v>3695</v>
      </c>
      <c r="AA98" s="94"/>
      <c r="AB98" s="94"/>
      <c r="AI98" s="97">
        <v>78</v>
      </c>
      <c r="AJ98" s="111" t="s">
        <v>4469</v>
      </c>
      <c r="AK98" s="111">
        <v>6400000</v>
      </c>
      <c r="AL98" s="97">
        <v>1</v>
      </c>
      <c r="AM98" s="97">
        <f t="shared" si="32"/>
        <v>1049</v>
      </c>
      <c r="AN98" s="115">
        <f t="shared" si="10"/>
        <v>6713600000</v>
      </c>
      <c r="AO98" s="97"/>
    </row>
    <row r="99" spans="4:48">
      <c r="D99" s="2"/>
      <c r="E99" s="3"/>
      <c r="F99" s="428"/>
      <c r="G99" s="428"/>
      <c r="H99" s="428"/>
      <c r="I99" s="428"/>
      <c r="R99" s="167"/>
      <c r="S99" s="19" t="s">
        <v>5738</v>
      </c>
      <c r="T99" s="193">
        <f>T98-1</f>
        <v>431</v>
      </c>
      <c r="U99" s="187" t="s">
        <v>6828</v>
      </c>
      <c r="V99" s="205">
        <v>1171</v>
      </c>
      <c r="W99" s="205">
        <f t="shared" si="27"/>
        <v>1575.9670904109591</v>
      </c>
      <c r="X99" s="32">
        <f t="shared" si="30"/>
        <v>1607.4864322191784</v>
      </c>
      <c r="Y99" s="32">
        <f t="shared" si="31"/>
        <v>1639.0057740273976</v>
      </c>
      <c r="Z99" s="94">
        <v>54223</v>
      </c>
      <c r="AI99" s="97">
        <v>79</v>
      </c>
      <c r="AJ99" s="111" t="s">
        <v>4467</v>
      </c>
      <c r="AK99" s="111">
        <v>5000</v>
      </c>
      <c r="AL99" s="97">
        <v>5</v>
      </c>
      <c r="AM99" s="97">
        <f t="shared" si="32"/>
        <v>1048</v>
      </c>
      <c r="AN99" s="115">
        <f t="shared" si="10"/>
        <v>5240000</v>
      </c>
      <c r="AO99" s="97"/>
      <c r="AQ99" t="s">
        <v>25</v>
      </c>
    </row>
    <row r="100" spans="4:48">
      <c r="D100" s="2" t="s">
        <v>6</v>
      </c>
      <c r="E100" s="3">
        <f>SUM(E77:E98)</f>
        <v>3383333</v>
      </c>
      <c r="F100" s="428"/>
      <c r="G100" s="428"/>
      <c r="H100" s="428"/>
      <c r="I100" s="428"/>
      <c r="R100" s="167"/>
      <c r="S100" s="19" t="s">
        <v>5798</v>
      </c>
      <c r="T100" s="193">
        <f>T99-65</f>
        <v>366</v>
      </c>
      <c r="U100" s="187" t="s">
        <v>5799</v>
      </c>
      <c r="V100" s="205">
        <v>1255.0999999999999</v>
      </c>
      <c r="W100" s="205">
        <f t="shared" si="27"/>
        <v>1626.568336438356</v>
      </c>
      <c r="X100" s="32">
        <f t="shared" ref="X100:X106" si="33">W100*(1+$X$19/100)</f>
        <v>1659.0997031671232</v>
      </c>
      <c r="Y100" s="32">
        <f t="shared" ref="Y100:Y106" si="34">W100*(1+$Y$19/100)</f>
        <v>1691.6310698958903</v>
      </c>
      <c r="Z100" s="94"/>
      <c r="AA100" s="94">
        <v>26860</v>
      </c>
      <c r="AB100" s="94">
        <f>AA100*3</f>
        <v>80580</v>
      </c>
      <c r="AI100" s="97">
        <v>80</v>
      </c>
      <c r="AJ100" s="111" t="s">
        <v>4495</v>
      </c>
      <c r="AK100" s="111">
        <v>-1750148</v>
      </c>
      <c r="AL100" s="97">
        <v>1</v>
      </c>
      <c r="AM100" s="97">
        <f t="shared" si="32"/>
        <v>1043</v>
      </c>
      <c r="AN100" s="115">
        <f t="shared" si="10"/>
        <v>-1825404364</v>
      </c>
      <c r="AO100" s="97"/>
    </row>
    <row r="101" spans="4:48">
      <c r="D101" s="2" t="s">
        <v>328</v>
      </c>
      <c r="E101" s="3">
        <f>E100/30</f>
        <v>112777.76666666666</v>
      </c>
      <c r="F101" s="428"/>
      <c r="G101" s="428"/>
      <c r="H101" s="428"/>
      <c r="I101" s="428"/>
      <c r="R101" s="167"/>
      <c r="S101" s="19" t="s">
        <v>6853</v>
      </c>
      <c r="T101" s="193">
        <f>T115-1169</f>
        <v>97</v>
      </c>
      <c r="U101" s="187" t="s">
        <v>6856</v>
      </c>
      <c r="V101" s="205">
        <v>436.6</v>
      </c>
      <c r="W101" s="205">
        <f t="shared" si="27"/>
        <v>475.72414465753428</v>
      </c>
      <c r="X101" s="32">
        <f t="shared" si="33"/>
        <v>485.23862755068495</v>
      </c>
      <c r="Y101" s="32">
        <f t="shared" si="34"/>
        <v>494.75311044383568</v>
      </c>
      <c r="Z101" s="424"/>
      <c r="AA101" s="424"/>
      <c r="AB101" s="424">
        <v>2217</v>
      </c>
      <c r="AI101" s="97">
        <v>81</v>
      </c>
      <c r="AJ101" s="111" t="s">
        <v>4498</v>
      </c>
      <c r="AK101" s="111">
        <v>400000</v>
      </c>
      <c r="AL101" s="97">
        <v>0</v>
      </c>
      <c r="AM101" s="97">
        <f t="shared" si="32"/>
        <v>1042</v>
      </c>
      <c r="AN101" s="115">
        <f t="shared" si="10"/>
        <v>416800000</v>
      </c>
      <c r="AO101" s="97"/>
    </row>
    <row r="102" spans="4:48">
      <c r="F102" s="94"/>
      <c r="G102" s="94"/>
      <c r="H102" s="94"/>
      <c r="I102" s="94"/>
      <c r="R102" s="167"/>
      <c r="S102" s="19" t="s">
        <v>6853</v>
      </c>
      <c r="T102" s="193">
        <f>T115-1169</f>
        <v>97</v>
      </c>
      <c r="U102" s="187" t="s">
        <v>6857</v>
      </c>
      <c r="V102" s="205">
        <v>1396</v>
      </c>
      <c r="W102" s="205">
        <f t="shared" si="27"/>
        <v>1521.096898630137</v>
      </c>
      <c r="X102" s="32">
        <f t="shared" si="33"/>
        <v>1551.5188366027398</v>
      </c>
      <c r="Y102" s="32">
        <f t="shared" si="34"/>
        <v>1581.9407745753426</v>
      </c>
      <c r="Z102" s="424">
        <v>4518</v>
      </c>
      <c r="AA102" s="424"/>
      <c r="AB102" s="424"/>
      <c r="AI102" s="97">
        <v>82</v>
      </c>
      <c r="AJ102" s="111" t="s">
        <v>4498</v>
      </c>
      <c r="AK102" s="111">
        <v>-2105421</v>
      </c>
      <c r="AL102" s="97">
        <v>1</v>
      </c>
      <c r="AM102" s="97">
        <f t="shared" si="32"/>
        <v>1042</v>
      </c>
      <c r="AN102" s="115">
        <f t="shared" si="10"/>
        <v>-2193848682</v>
      </c>
      <c r="AO102" s="97"/>
      <c r="AP102" t="s">
        <v>25</v>
      </c>
    </row>
    <row r="103" spans="4:48">
      <c r="F103" s="94"/>
      <c r="G103" s="94"/>
      <c r="H103" s="94"/>
      <c r="I103" s="94"/>
      <c r="R103" s="167"/>
      <c r="S103" s="19"/>
      <c r="T103" s="193"/>
      <c r="U103" s="187"/>
      <c r="V103" s="205"/>
      <c r="W103" s="205"/>
      <c r="X103" s="32"/>
      <c r="Y103" s="32"/>
      <c r="Z103" s="424"/>
      <c r="AA103" s="424"/>
      <c r="AB103" s="424"/>
      <c r="AI103" s="97">
        <v>83</v>
      </c>
      <c r="AJ103" s="111" t="s">
        <v>4501</v>
      </c>
      <c r="AK103" s="111">
        <v>-5527618</v>
      </c>
      <c r="AL103" s="97">
        <v>0</v>
      </c>
      <c r="AM103" s="97">
        <f t="shared" si="32"/>
        <v>1041</v>
      </c>
      <c r="AN103" s="115">
        <f t="shared" si="10"/>
        <v>-5754250338</v>
      </c>
      <c r="AO103" s="97"/>
    </row>
    <row r="104" spans="4:48">
      <c r="F104" s="94"/>
      <c r="G104" s="94"/>
      <c r="H104" s="94"/>
      <c r="I104" s="94"/>
      <c r="R104" s="167"/>
      <c r="S104" s="19"/>
      <c r="T104" s="193"/>
      <c r="U104" s="187"/>
      <c r="V104" s="205"/>
      <c r="W104" s="205">
        <f>V104*(1+$S$111+$R$15*T104/36500)</f>
        <v>0</v>
      </c>
      <c r="X104" s="32">
        <f t="shared" si="33"/>
        <v>0</v>
      </c>
      <c r="Y104" s="32">
        <f t="shared" si="34"/>
        <v>0</v>
      </c>
      <c r="Z104" s="94"/>
      <c r="AA104" s="94"/>
      <c r="AB104" s="94"/>
      <c r="AI104" s="97">
        <v>84</v>
      </c>
      <c r="AJ104" s="111" t="s">
        <v>4501</v>
      </c>
      <c r="AK104" s="111">
        <v>3900000</v>
      </c>
      <c r="AL104" s="97">
        <v>3</v>
      </c>
      <c r="AM104" s="97">
        <f t="shared" si="32"/>
        <v>1041</v>
      </c>
      <c r="AN104" s="115">
        <f t="shared" si="10"/>
        <v>4059900000</v>
      </c>
      <c r="AO104" s="97"/>
    </row>
    <row r="105" spans="4:48">
      <c r="F105" s="94"/>
      <c r="G105" s="94"/>
      <c r="H105" s="94"/>
      <c r="I105" s="94"/>
      <c r="J105" s="94" t="s">
        <v>25</v>
      </c>
      <c r="K105" t="s">
        <v>25</v>
      </c>
      <c r="L105" s="94"/>
      <c r="M105" s="94"/>
      <c r="R105" s="167"/>
      <c r="S105" s="19"/>
      <c r="T105" s="193"/>
      <c r="U105" s="187"/>
      <c r="V105" s="205"/>
      <c r="W105" s="205">
        <f>V105*(1+$S$111+$R$15*T105/36500)</f>
        <v>0</v>
      </c>
      <c r="X105" s="32">
        <f t="shared" si="33"/>
        <v>0</v>
      </c>
      <c r="Y105" s="32">
        <f t="shared" si="34"/>
        <v>0</v>
      </c>
      <c r="Z105" s="94"/>
      <c r="AA105" s="94"/>
      <c r="AB105" s="94"/>
      <c r="AC105" s="94"/>
      <c r="AI105" s="97">
        <v>85</v>
      </c>
      <c r="AJ105" s="111" t="s">
        <v>4502</v>
      </c>
      <c r="AK105" s="111">
        <v>-3969754</v>
      </c>
      <c r="AL105" s="97">
        <v>1</v>
      </c>
      <c r="AM105" s="97">
        <f t="shared" si="32"/>
        <v>1038</v>
      </c>
      <c r="AN105" s="115">
        <f t="shared" si="10"/>
        <v>-4120604652</v>
      </c>
      <c r="AO105" s="97"/>
    </row>
    <row r="106" spans="4:48">
      <c r="J106" t="s">
        <v>25</v>
      </c>
      <c r="R106" s="167"/>
      <c r="S106" s="166"/>
      <c r="T106" s="111"/>
      <c r="U106" s="111"/>
      <c r="V106" s="166" t="s">
        <v>25</v>
      </c>
      <c r="W106" s="205" t="e">
        <f>V106*(1+$S$111+$R$15*T106/36500)</f>
        <v>#VALUE!</v>
      </c>
      <c r="X106" s="32" t="e">
        <f t="shared" si="33"/>
        <v>#VALUE!</v>
      </c>
      <c r="Y106" s="32" t="e">
        <f t="shared" si="34"/>
        <v>#VALUE!</v>
      </c>
      <c r="AA106" t="s">
        <v>25</v>
      </c>
      <c r="AC106" s="94"/>
      <c r="AI106" s="97">
        <v>86</v>
      </c>
      <c r="AJ106" s="111" t="s">
        <v>4512</v>
      </c>
      <c r="AK106" s="111">
        <v>-25574455</v>
      </c>
      <c r="AL106" s="97">
        <v>0</v>
      </c>
      <c r="AM106" s="97">
        <f t="shared" si="32"/>
        <v>1037</v>
      </c>
      <c r="AN106" s="115">
        <f t="shared" si="10"/>
        <v>-26520709835</v>
      </c>
      <c r="AO106" s="97"/>
      <c r="AQ106" t="s">
        <v>25</v>
      </c>
    </row>
    <row r="107" spans="4:48">
      <c r="G107" s="94" t="s">
        <v>25</v>
      </c>
      <c r="H107" s="94"/>
      <c r="I107" s="94"/>
      <c r="J107" s="94"/>
      <c r="R107" s="111">
        <f>SUM(N36:N36)-SUM(R84:R106)</f>
        <v>1364924.7462978996</v>
      </c>
      <c r="S107" s="166"/>
      <c r="T107" s="166"/>
      <c r="U107" s="166"/>
      <c r="V107" s="166"/>
      <c r="W107" s="166"/>
      <c r="X107" s="32"/>
      <c r="Y107" s="32"/>
      <c r="AA107" t="s">
        <v>25</v>
      </c>
      <c r="AB107" t="s">
        <v>25</v>
      </c>
      <c r="AI107" s="97">
        <v>87</v>
      </c>
      <c r="AJ107" s="111" t="s">
        <v>4512</v>
      </c>
      <c r="AK107" s="111">
        <v>4000000</v>
      </c>
      <c r="AL107" s="97">
        <v>1</v>
      </c>
      <c r="AM107" s="97">
        <f t="shared" si="32"/>
        <v>1037</v>
      </c>
      <c r="AN107" s="115">
        <f t="shared" si="10"/>
        <v>4148000000</v>
      </c>
      <c r="AO107" s="97"/>
    </row>
    <row r="108" spans="4:48">
      <c r="F108" s="430"/>
      <c r="G108" s="94"/>
      <c r="H108" s="94"/>
      <c r="I108" s="94"/>
      <c r="J108" s="94"/>
      <c r="K108" s="166" t="s">
        <v>4480</v>
      </c>
      <c r="L108" s="166" t="s">
        <v>4481</v>
      </c>
      <c r="M108" s="166" t="s">
        <v>4392</v>
      </c>
      <c r="N108" s="54" t="s">
        <v>190</v>
      </c>
      <c r="S108" s="113"/>
      <c r="T108" s="113"/>
      <c r="U108" s="113" t="s">
        <v>25</v>
      </c>
      <c r="V108" s="113" t="s">
        <v>25</v>
      </c>
      <c r="W108" s="113" t="s">
        <v>25</v>
      </c>
      <c r="X108" s="190" t="s">
        <v>25</v>
      </c>
      <c r="Y108" s="190"/>
      <c r="AB108" t="s">
        <v>25</v>
      </c>
      <c r="AI108" s="97">
        <v>88</v>
      </c>
      <c r="AJ108" s="111" t="s">
        <v>977</v>
      </c>
      <c r="AK108" s="111">
        <v>-5000000</v>
      </c>
      <c r="AL108" s="97">
        <v>2</v>
      </c>
      <c r="AM108" s="97">
        <f t="shared" si="32"/>
        <v>1036</v>
      </c>
      <c r="AN108" s="115">
        <f t="shared" si="10"/>
        <v>-5180000000</v>
      </c>
      <c r="AO108" s="97"/>
    </row>
    <row r="109" spans="4:48">
      <c r="F109" s="430"/>
      <c r="G109" s="94"/>
      <c r="H109" s="94"/>
      <c r="I109" s="94"/>
      <c r="J109" s="94"/>
      <c r="K109" s="166" t="s">
        <v>4216</v>
      </c>
      <c r="L109" s="167">
        <v>1100000</v>
      </c>
      <c r="M109" s="167">
        <v>1637000</v>
      </c>
      <c r="N109" s="166">
        <f t="shared" ref="N109:N117" si="35">(M109-L109)*100/L109</f>
        <v>48.81818181818182</v>
      </c>
      <c r="P109" s="94"/>
      <c r="R109" s="97" t="s">
        <v>932</v>
      </c>
      <c r="S109" s="97">
        <v>1.03E-2</v>
      </c>
      <c r="T109" s="26" t="s">
        <v>25</v>
      </c>
      <c r="U109" t="s">
        <v>25</v>
      </c>
      <c r="V109" s="94" t="s">
        <v>25</v>
      </c>
      <c r="W109" s="113" t="s">
        <v>25</v>
      </c>
      <c r="X109" s="190" t="s">
        <v>25</v>
      </c>
      <c r="Y109" s="190"/>
      <c r="AA109" t="s">
        <v>25</v>
      </c>
      <c r="AE109" s="94"/>
      <c r="AF109"/>
      <c r="AG109"/>
      <c r="AI109" s="97">
        <v>89</v>
      </c>
      <c r="AJ109" s="111" t="s">
        <v>4516</v>
      </c>
      <c r="AK109" s="111">
        <v>10000000</v>
      </c>
      <c r="AL109" s="97">
        <v>4</v>
      </c>
      <c r="AM109" s="97">
        <f t="shared" si="32"/>
        <v>1034</v>
      </c>
      <c r="AN109" s="115">
        <f t="shared" si="10"/>
        <v>10340000000</v>
      </c>
      <c r="AO109" s="97"/>
    </row>
    <row r="110" spans="4:48">
      <c r="F110" s="430"/>
      <c r="G110" s="94"/>
      <c r="H110" s="94"/>
      <c r="I110" s="94"/>
      <c r="J110" s="94"/>
      <c r="K110" s="5" t="s">
        <v>4475</v>
      </c>
      <c r="L110" s="167">
        <v>1100000</v>
      </c>
      <c r="M110" s="167">
        <v>4748000</v>
      </c>
      <c r="N110" s="166">
        <f t="shared" si="35"/>
        <v>331.63636363636363</v>
      </c>
      <c r="P110" s="94"/>
      <c r="R110" s="97" t="s">
        <v>61</v>
      </c>
      <c r="S110" s="97">
        <v>4.8999999999999998E-3</v>
      </c>
      <c r="U110" s="112" t="s">
        <v>25</v>
      </c>
      <c r="V110" s="94" t="s">
        <v>25</v>
      </c>
      <c r="W110" t="s">
        <v>25</v>
      </c>
      <c r="X110" s="190" t="s">
        <v>25</v>
      </c>
      <c r="Y110" s="190" t="s">
        <v>25</v>
      </c>
      <c r="Z110" s="94"/>
      <c r="AA110" s="94"/>
      <c r="AB110" s="94"/>
      <c r="AD110" t="s">
        <v>25</v>
      </c>
      <c r="AI110" s="97">
        <v>90</v>
      </c>
      <c r="AJ110" s="111" t="s">
        <v>4518</v>
      </c>
      <c r="AK110" s="111">
        <v>-5241937</v>
      </c>
      <c r="AL110" s="97">
        <v>0</v>
      </c>
      <c r="AM110" s="97">
        <f t="shared" si="32"/>
        <v>1030</v>
      </c>
      <c r="AN110" s="115">
        <f t="shared" si="10"/>
        <v>-5399195110</v>
      </c>
      <c r="AO110" s="97"/>
    </row>
    <row r="111" spans="4:48">
      <c r="F111" s="430"/>
      <c r="G111" s="94"/>
      <c r="H111" s="94"/>
      <c r="I111" s="94"/>
      <c r="J111" s="94"/>
      <c r="K111" s="5" t="s">
        <v>4476</v>
      </c>
      <c r="L111" s="167">
        <v>1100000</v>
      </c>
      <c r="M111" s="167">
        <v>5137000</v>
      </c>
      <c r="N111" s="166">
        <f t="shared" si="35"/>
        <v>367</v>
      </c>
      <c r="P111" s="94"/>
      <c r="Q111" s="112"/>
      <c r="R111" s="97" t="s">
        <v>6</v>
      </c>
      <c r="S111" s="97">
        <f>S109+S110</f>
        <v>1.52E-2</v>
      </c>
      <c r="U111" t="s">
        <v>25</v>
      </c>
      <c r="V111" s="94" t="s">
        <v>25</v>
      </c>
      <c r="W111" t="s">
        <v>25</v>
      </c>
      <c r="X111" s="190"/>
      <c r="Y111" s="190"/>
      <c r="Z111" s="94"/>
      <c r="AA111" s="94"/>
      <c r="AB111" s="94" t="s">
        <v>25</v>
      </c>
      <c r="AI111" s="97">
        <v>91</v>
      </c>
      <c r="AJ111" s="111" t="s">
        <v>4518</v>
      </c>
      <c r="AK111" s="111">
        <v>21900000</v>
      </c>
      <c r="AL111" s="97">
        <v>2</v>
      </c>
      <c r="AM111" s="97">
        <f t="shared" si="32"/>
        <v>1030</v>
      </c>
      <c r="AN111" s="115">
        <f t="shared" si="10"/>
        <v>22557000000</v>
      </c>
      <c r="AO111" s="97"/>
      <c r="AQ111" t="s">
        <v>25</v>
      </c>
      <c r="AV111"/>
    </row>
    <row r="112" spans="4:48">
      <c r="F112" s="430"/>
      <c r="G112" s="94"/>
      <c r="H112" s="94"/>
      <c r="I112" s="94"/>
      <c r="J112" s="94"/>
      <c r="K112" s="19" t="s">
        <v>4354</v>
      </c>
      <c r="L112" s="167">
        <v>1100000</v>
      </c>
      <c r="M112" s="167">
        <v>4300000</v>
      </c>
      <c r="N112" s="166">
        <f t="shared" si="35"/>
        <v>290.90909090909093</v>
      </c>
      <c r="P112" s="94"/>
      <c r="X112" s="190"/>
      <c r="Y112" s="190"/>
      <c r="AB112" t="s">
        <v>25</v>
      </c>
      <c r="AI112" s="97">
        <v>92</v>
      </c>
      <c r="AJ112" s="111" t="s">
        <v>4525</v>
      </c>
      <c r="AK112" s="111">
        <v>-15000000</v>
      </c>
      <c r="AL112" s="97">
        <v>0</v>
      </c>
      <c r="AM112" s="97">
        <f t="shared" si="32"/>
        <v>1028</v>
      </c>
      <c r="AN112" s="115">
        <f t="shared" si="10"/>
        <v>-15420000000</v>
      </c>
      <c r="AO112" s="97"/>
      <c r="AP112" t="s">
        <v>25</v>
      </c>
    </row>
    <row r="113" spans="6:47" ht="30">
      <c r="F113" s="430"/>
      <c r="G113" s="94"/>
      <c r="H113" s="94"/>
      <c r="I113" s="94"/>
      <c r="J113" s="94"/>
      <c r="K113" s="5" t="s">
        <v>4371</v>
      </c>
      <c r="L113" s="167">
        <v>1100000</v>
      </c>
      <c r="M113" s="167">
        <v>3191000</v>
      </c>
      <c r="N113" s="166">
        <f t="shared" si="35"/>
        <v>190.09090909090909</v>
      </c>
      <c r="P113" t="s">
        <v>25</v>
      </c>
      <c r="R113" s="71" t="s">
        <v>4267</v>
      </c>
      <c r="S113" s="110"/>
      <c r="T113" s="110"/>
      <c r="U113" s="110"/>
      <c r="V113" s="166" t="s">
        <v>4329</v>
      </c>
      <c r="W113" s="36" t="s">
        <v>4331</v>
      </c>
      <c r="X113" s="32"/>
      <c r="Y113" s="32"/>
      <c r="Z113" s="94"/>
      <c r="AA113" s="94"/>
      <c r="AB113" s="94"/>
      <c r="AI113" s="97">
        <v>93</v>
      </c>
      <c r="AJ113" s="111" t="s">
        <v>4525</v>
      </c>
      <c r="AK113" s="111">
        <v>3000000</v>
      </c>
      <c r="AL113" s="97">
        <v>1</v>
      </c>
      <c r="AM113" s="97">
        <f t="shared" si="32"/>
        <v>1028</v>
      </c>
      <c r="AN113" s="115">
        <f t="shared" si="10"/>
        <v>3084000000</v>
      </c>
      <c r="AO113" s="97"/>
    </row>
    <row r="114" spans="6:47">
      <c r="F114" s="430"/>
      <c r="G114" s="94"/>
      <c r="H114" s="94"/>
      <c r="I114" s="94"/>
      <c r="J114" s="94"/>
      <c r="K114" s="5" t="s">
        <v>4477</v>
      </c>
      <c r="L114" s="167">
        <v>1100000</v>
      </c>
      <c r="M114" s="167">
        <v>5623000</v>
      </c>
      <c r="N114" s="166">
        <f t="shared" si="35"/>
        <v>411.18181818181819</v>
      </c>
      <c r="P114" t="s">
        <v>25</v>
      </c>
      <c r="R114" s="110" t="s">
        <v>267</v>
      </c>
      <c r="S114" s="110" t="s">
        <v>180</v>
      </c>
      <c r="T114" s="110" t="s">
        <v>183</v>
      </c>
      <c r="U114" s="110" t="s">
        <v>8</v>
      </c>
      <c r="V114" s="166"/>
      <c r="W114" s="97"/>
      <c r="X114" s="32">
        <v>2</v>
      </c>
      <c r="Y114" s="32">
        <v>4</v>
      </c>
      <c r="AI114" s="97">
        <v>94</v>
      </c>
      <c r="AJ114" s="111" t="s">
        <v>4528</v>
      </c>
      <c r="AK114" s="111">
        <v>-2103736</v>
      </c>
      <c r="AL114" s="97">
        <v>0</v>
      </c>
      <c r="AM114" s="97">
        <f t="shared" si="32"/>
        <v>1027</v>
      </c>
      <c r="AN114" s="115">
        <f t="shared" si="10"/>
        <v>-2160536872</v>
      </c>
      <c r="AO114" s="97"/>
    </row>
    <row r="115" spans="6:47">
      <c r="F115" s="430"/>
      <c r="G115" s="94"/>
      <c r="H115" s="94"/>
      <c r="I115" s="94"/>
      <c r="J115" s="94"/>
      <c r="K115" s="19" t="s">
        <v>4358</v>
      </c>
      <c r="L115" s="167">
        <v>1100000</v>
      </c>
      <c r="M115" s="167">
        <v>7728000</v>
      </c>
      <c r="N115" s="166">
        <f t="shared" si="35"/>
        <v>602.5454545454545</v>
      </c>
      <c r="O115" t="s">
        <v>25</v>
      </c>
      <c r="P115" t="s">
        <v>25</v>
      </c>
      <c r="Q115" s="112"/>
      <c r="R115" s="35">
        <v>38474780.062005915</v>
      </c>
      <c r="S115" s="5" t="s">
        <v>4149</v>
      </c>
      <c r="T115" s="5">
        <v>1266</v>
      </c>
      <c r="U115" s="5" t="s">
        <v>5557</v>
      </c>
      <c r="V115" s="166">
        <v>192</v>
      </c>
      <c r="W115" s="97">
        <f t="shared" ref="W115:W146" si="36">V115*(1+$S$111+$R$15*T115/36500)</f>
        <v>381.38459178082195</v>
      </c>
      <c r="X115" s="32">
        <f t="shared" ref="X115:X129" si="37">W115*(1+$X$19/100)</f>
        <v>389.01228361643837</v>
      </c>
      <c r="Y115" s="32">
        <f t="shared" ref="Y115:Y129" si="38">W115*(1+$Y$19/100)</f>
        <v>396.63997545205484</v>
      </c>
      <c r="Z115" s="94">
        <v>200000</v>
      </c>
      <c r="AI115" s="97">
        <v>95</v>
      </c>
      <c r="AJ115" s="111" t="s">
        <v>4528</v>
      </c>
      <c r="AK115" s="111">
        <v>220000</v>
      </c>
      <c r="AL115" s="97">
        <v>3</v>
      </c>
      <c r="AM115" s="97">
        <f t="shared" si="32"/>
        <v>1027</v>
      </c>
      <c r="AN115" s="115">
        <f t="shared" si="10"/>
        <v>225940000</v>
      </c>
      <c r="AO115" s="97"/>
      <c r="AS115" s="94"/>
      <c r="AT115" s="94"/>
      <c r="AU115"/>
    </row>
    <row r="116" spans="6:47">
      <c r="F116" s="430"/>
      <c r="G116" s="94"/>
      <c r="H116" s="94"/>
      <c r="I116" s="94"/>
      <c r="J116" s="94"/>
      <c r="K116" s="5" t="s">
        <v>4479</v>
      </c>
      <c r="L116" s="167">
        <v>1100000</v>
      </c>
      <c r="M116" s="167">
        <v>2904000</v>
      </c>
      <c r="N116" s="166">
        <f t="shared" si="35"/>
        <v>164</v>
      </c>
      <c r="R116" s="167">
        <v>433201621</v>
      </c>
      <c r="S116" s="205" t="s">
        <v>5561</v>
      </c>
      <c r="T116" s="205">
        <f>T115-695</f>
        <v>571</v>
      </c>
      <c r="U116" s="205" t="s">
        <v>5568</v>
      </c>
      <c r="V116" s="205">
        <v>1995.5</v>
      </c>
      <c r="W116" s="97">
        <f t="shared" si="36"/>
        <v>2899.9152712328769</v>
      </c>
      <c r="X116" s="32">
        <f t="shared" si="37"/>
        <v>2957.9135766575346</v>
      </c>
      <c r="Y116" s="32">
        <f t="shared" si="38"/>
        <v>3015.9118820821923</v>
      </c>
      <c r="Z116">
        <v>216287</v>
      </c>
      <c r="AA116" t="s">
        <v>25</v>
      </c>
      <c r="AI116" s="97">
        <v>96</v>
      </c>
      <c r="AJ116" s="111" t="s">
        <v>4537</v>
      </c>
      <c r="AK116" s="111">
        <v>4000000</v>
      </c>
      <c r="AL116" s="97">
        <v>1</v>
      </c>
      <c r="AM116" s="97">
        <f t="shared" si="32"/>
        <v>1024</v>
      </c>
      <c r="AN116" s="115">
        <f t="shared" si="10"/>
        <v>4096000000</v>
      </c>
      <c r="AO116" s="97"/>
    </row>
    <row r="117" spans="6:47">
      <c r="F117" s="430"/>
      <c r="G117" s="94"/>
      <c r="H117" s="94"/>
      <c r="I117" s="94"/>
      <c r="J117" s="94"/>
      <c r="K117" s="54" t="s">
        <v>1068</v>
      </c>
      <c r="L117" s="167">
        <v>1100000</v>
      </c>
      <c r="M117" s="167">
        <v>3400000</v>
      </c>
      <c r="N117" s="166">
        <f t="shared" si="35"/>
        <v>209.09090909090909</v>
      </c>
      <c r="P117" s="112"/>
      <c r="R117" s="167">
        <v>8201348.2384272004</v>
      </c>
      <c r="S117" s="205" t="s">
        <v>5564</v>
      </c>
      <c r="T117" s="205">
        <f>T116-5</f>
        <v>566</v>
      </c>
      <c r="U117" s="205" t="s">
        <v>5617</v>
      </c>
      <c r="V117" s="205">
        <v>1751</v>
      </c>
      <c r="W117" s="97">
        <f t="shared" si="36"/>
        <v>2537.8850082191784</v>
      </c>
      <c r="X117" s="32">
        <f t="shared" si="37"/>
        <v>2588.642708383562</v>
      </c>
      <c r="Y117" s="32">
        <f t="shared" si="38"/>
        <v>2639.4004085479455</v>
      </c>
      <c r="Z117">
        <v>4667</v>
      </c>
      <c r="AI117" s="97">
        <v>97</v>
      </c>
      <c r="AJ117" s="111" t="s">
        <v>4541</v>
      </c>
      <c r="AK117" s="111">
        <v>-9000000</v>
      </c>
      <c r="AL117" s="97">
        <v>0</v>
      </c>
      <c r="AM117" s="97">
        <f t="shared" si="32"/>
        <v>1023</v>
      </c>
      <c r="AN117" s="115">
        <f t="shared" si="10"/>
        <v>-9207000000</v>
      </c>
      <c r="AO117" s="97"/>
      <c r="AQ117" t="s">
        <v>25</v>
      </c>
    </row>
    <row r="118" spans="6:47">
      <c r="F118" s="430"/>
      <c r="K118" s="223" t="s">
        <v>5345</v>
      </c>
      <c r="P118" t="s">
        <v>25</v>
      </c>
      <c r="R118" s="167">
        <v>106896832</v>
      </c>
      <c r="S118" s="205" t="s">
        <v>5619</v>
      </c>
      <c r="T118" s="205">
        <f>T117-36</f>
        <v>530</v>
      </c>
      <c r="U118" s="205" t="s">
        <v>5620</v>
      </c>
      <c r="V118" s="205">
        <v>1715</v>
      </c>
      <c r="W118" s="97">
        <f t="shared" si="36"/>
        <v>2438.3447123287674</v>
      </c>
      <c r="X118" s="32">
        <f t="shared" si="37"/>
        <v>2487.1116065753426</v>
      </c>
      <c r="Y118" s="32">
        <f t="shared" si="38"/>
        <v>2535.8785008219184</v>
      </c>
      <c r="Z118" s="94">
        <v>62100</v>
      </c>
      <c r="AA118" t="s">
        <v>25</v>
      </c>
      <c r="AI118" s="97">
        <v>98</v>
      </c>
      <c r="AJ118" s="111" t="s">
        <v>4541</v>
      </c>
      <c r="AK118" s="111">
        <v>13900000</v>
      </c>
      <c r="AL118" s="97">
        <v>2</v>
      </c>
      <c r="AM118" s="97">
        <f t="shared" si="32"/>
        <v>1023</v>
      </c>
      <c r="AN118" s="115">
        <f t="shared" si="10"/>
        <v>14219700000</v>
      </c>
      <c r="AO118" s="97"/>
    </row>
    <row r="119" spans="6:47">
      <c r="F119" s="430"/>
      <c r="K119" s="223" t="s">
        <v>4508</v>
      </c>
      <c r="R119" s="167">
        <v>455942528</v>
      </c>
      <c r="S119" s="205" t="s">
        <v>5621</v>
      </c>
      <c r="T119" s="205">
        <f>T118-1</f>
        <v>529</v>
      </c>
      <c r="U119" s="205" t="s">
        <v>5622</v>
      </c>
      <c r="V119" s="205">
        <v>1631</v>
      </c>
      <c r="W119" s="97">
        <f t="shared" si="36"/>
        <v>2317.6644054794524</v>
      </c>
      <c r="X119" s="32">
        <f t="shared" si="37"/>
        <v>2364.0176935890413</v>
      </c>
      <c r="Y119" s="32">
        <f t="shared" si="38"/>
        <v>2410.3709816986307</v>
      </c>
      <c r="Z119">
        <v>278514</v>
      </c>
      <c r="AB119" t="s">
        <v>25</v>
      </c>
      <c r="AI119" s="97">
        <v>99</v>
      </c>
      <c r="AJ119" s="111" t="s">
        <v>4545</v>
      </c>
      <c r="AK119" s="111">
        <v>-8127577</v>
      </c>
      <c r="AL119" s="97">
        <v>1</v>
      </c>
      <c r="AM119" s="97">
        <f t="shared" si="32"/>
        <v>1021</v>
      </c>
      <c r="AN119" s="115">
        <f t="shared" si="10"/>
        <v>-8298256117</v>
      </c>
      <c r="AO119" s="97"/>
      <c r="AP119" t="s">
        <v>25</v>
      </c>
      <c r="AR119" t="s">
        <v>25</v>
      </c>
    </row>
    <row r="120" spans="6:47">
      <c r="K120" s="223" t="s">
        <v>4509</v>
      </c>
      <c r="R120" s="167">
        <v>834999909.33089697</v>
      </c>
      <c r="S120" s="205" t="s">
        <v>5624</v>
      </c>
      <c r="T120" s="205">
        <f>T119-1</f>
        <v>528</v>
      </c>
      <c r="U120" s="205" t="s">
        <v>5643</v>
      </c>
      <c r="V120" s="205">
        <v>1567.4</v>
      </c>
      <c r="W120" s="97">
        <f t="shared" si="36"/>
        <v>2226.0858936986306</v>
      </c>
      <c r="X120" s="32">
        <f t="shared" si="37"/>
        <v>2270.6076115726032</v>
      </c>
      <c r="Y120" s="32">
        <f t="shared" si="38"/>
        <v>2315.1293294465759</v>
      </c>
      <c r="Z120">
        <v>530747</v>
      </c>
      <c r="AI120" s="97">
        <v>100</v>
      </c>
      <c r="AJ120" s="111" t="s">
        <v>3673</v>
      </c>
      <c r="AK120" s="111">
        <v>15792549</v>
      </c>
      <c r="AL120" s="97">
        <v>3</v>
      </c>
      <c r="AM120" s="97">
        <f t="shared" si="32"/>
        <v>1020</v>
      </c>
      <c r="AN120" s="115">
        <f t="shared" si="10"/>
        <v>16108399980</v>
      </c>
      <c r="AO120" s="97"/>
      <c r="AP120" t="s">
        <v>25</v>
      </c>
      <c r="AQ120" t="s">
        <v>25</v>
      </c>
    </row>
    <row r="121" spans="6:47">
      <c r="P121" s="112"/>
      <c r="R121" s="167"/>
      <c r="S121" s="205" t="s">
        <v>5644</v>
      </c>
      <c r="T121" s="205">
        <f>T120-13</f>
        <v>515</v>
      </c>
      <c r="U121" s="205" t="s">
        <v>5645</v>
      </c>
      <c r="V121" s="205"/>
      <c r="W121" s="97">
        <f t="shared" si="36"/>
        <v>0</v>
      </c>
      <c r="X121" s="32">
        <f t="shared" si="37"/>
        <v>0</v>
      </c>
      <c r="Y121" s="32">
        <f t="shared" si="38"/>
        <v>0</v>
      </c>
      <c r="Z121" s="94">
        <v>83532</v>
      </c>
      <c r="AA121" s="94"/>
      <c r="AB121" s="94"/>
      <c r="AI121" s="97">
        <v>101</v>
      </c>
      <c r="AJ121" s="111" t="s">
        <v>4549</v>
      </c>
      <c r="AK121" s="111">
        <v>8800000</v>
      </c>
      <c r="AL121" s="97">
        <v>0</v>
      </c>
      <c r="AM121" s="97">
        <f t="shared" ref="AM121:AM126" si="39">AM122+AL121</f>
        <v>1017</v>
      </c>
      <c r="AN121" s="115">
        <f t="shared" ref="AN121:AN144" si="40">AK121*AM121</f>
        <v>8949600000</v>
      </c>
      <c r="AO121" s="97"/>
      <c r="AQ121" t="s">
        <v>25</v>
      </c>
    </row>
    <row r="122" spans="6:47" ht="17.25" customHeight="1">
      <c r="R122" s="167" t="s">
        <v>25</v>
      </c>
      <c r="S122" s="205" t="s">
        <v>5646</v>
      </c>
      <c r="T122" s="205">
        <f>T121-1</f>
        <v>514</v>
      </c>
      <c r="U122" s="205" t="s">
        <v>5647</v>
      </c>
      <c r="V122" s="205"/>
      <c r="W122" s="97">
        <f t="shared" si="36"/>
        <v>0</v>
      </c>
      <c r="X122" s="32">
        <f t="shared" si="37"/>
        <v>0</v>
      </c>
      <c r="Y122" s="32">
        <f t="shared" si="38"/>
        <v>0</v>
      </c>
      <c r="Z122" s="94">
        <v>807014</v>
      </c>
      <c r="AA122" s="94"/>
      <c r="AB122" s="94"/>
      <c r="AI122" s="119">
        <v>102</v>
      </c>
      <c r="AJ122" s="77" t="s">
        <v>4549</v>
      </c>
      <c r="AK122" s="77">
        <v>13071612</v>
      </c>
      <c r="AL122" s="119">
        <v>1</v>
      </c>
      <c r="AM122" s="119">
        <f t="shared" si="39"/>
        <v>1017</v>
      </c>
      <c r="AN122" s="77">
        <f t="shared" si="40"/>
        <v>13293829404</v>
      </c>
      <c r="AO122" s="200" t="s">
        <v>4550</v>
      </c>
    </row>
    <row r="123" spans="6:47">
      <c r="R123" s="167"/>
      <c r="S123" s="205" t="s">
        <v>5648</v>
      </c>
      <c r="T123" s="205">
        <f>T122-1</f>
        <v>513</v>
      </c>
      <c r="U123" s="205" t="s">
        <v>5696</v>
      </c>
      <c r="V123" s="205"/>
      <c r="W123" s="97">
        <f t="shared" si="36"/>
        <v>0</v>
      </c>
      <c r="X123" s="32">
        <f t="shared" si="37"/>
        <v>0</v>
      </c>
      <c r="Y123" s="32">
        <f t="shared" si="38"/>
        <v>0</v>
      </c>
      <c r="Z123" s="94">
        <v>399790</v>
      </c>
      <c r="AA123" s="94"/>
      <c r="AB123" s="94"/>
      <c r="AI123" s="87">
        <v>103</v>
      </c>
      <c r="AJ123" s="88" t="s">
        <v>4553</v>
      </c>
      <c r="AK123" s="88">
        <v>16727037</v>
      </c>
      <c r="AL123" s="87">
        <v>0</v>
      </c>
      <c r="AM123" s="87">
        <f t="shared" si="39"/>
        <v>1016</v>
      </c>
      <c r="AN123" s="88">
        <f t="shared" si="40"/>
        <v>16994669592</v>
      </c>
      <c r="AO123" s="87" t="s">
        <v>4560</v>
      </c>
    </row>
    <row r="124" spans="6:47">
      <c r="F124" s="94"/>
      <c r="G124" s="32" t="s">
        <v>4216</v>
      </c>
      <c r="H124" s="32"/>
      <c r="I124" s="32" t="s">
        <v>4358</v>
      </c>
      <c r="K124" s="94"/>
      <c r="L124" s="94"/>
      <c r="M124" s="94"/>
      <c r="R124" s="167"/>
      <c r="S124" s="205" t="s">
        <v>5701</v>
      </c>
      <c r="T124" s="205">
        <f>T123-53</f>
        <v>460</v>
      </c>
      <c r="U124" s="205" t="s">
        <v>6739</v>
      </c>
      <c r="V124" s="205">
        <v>1500</v>
      </c>
      <c r="W124" s="97">
        <f t="shared" si="36"/>
        <v>2052.1150684931508</v>
      </c>
      <c r="X124" s="32">
        <f t="shared" si="37"/>
        <v>2093.1573698630141</v>
      </c>
      <c r="Y124" s="32">
        <f t="shared" si="38"/>
        <v>2134.1996712328769</v>
      </c>
      <c r="Z124" s="94">
        <v>27349</v>
      </c>
      <c r="AA124" s="94"/>
      <c r="AB124" s="94"/>
      <c r="AI124" s="97">
        <v>104</v>
      </c>
      <c r="AJ124" s="111" t="s">
        <v>4553</v>
      </c>
      <c r="AK124" s="111">
        <v>12000000</v>
      </c>
      <c r="AL124" s="97">
        <v>1</v>
      </c>
      <c r="AM124" s="97">
        <f t="shared" si="39"/>
        <v>1016</v>
      </c>
      <c r="AN124" s="115">
        <f t="shared" si="40"/>
        <v>12192000000</v>
      </c>
      <c r="AO124" s="97" t="s">
        <v>4561</v>
      </c>
    </row>
    <row r="125" spans="6:47">
      <c r="F125" s="94"/>
      <c r="G125" s="32">
        <f>O28+O35+O48</f>
        <v>5556975</v>
      </c>
      <c r="H125" s="32" t="s">
        <v>5431</v>
      </c>
      <c r="I125" s="32">
        <f>O52</f>
        <v>0</v>
      </c>
      <c r="J125" s="112"/>
      <c r="K125" s="94"/>
      <c r="L125" s="94"/>
      <c r="M125" s="94"/>
      <c r="R125" s="167"/>
      <c r="S125" s="205" t="s">
        <v>5754</v>
      </c>
      <c r="T125" s="205">
        <f>T124-71</f>
        <v>389</v>
      </c>
      <c r="U125" s="205" t="s">
        <v>5758</v>
      </c>
      <c r="V125" s="205">
        <v>1354.1</v>
      </c>
      <c r="W125" s="97">
        <f t="shared" si="36"/>
        <v>1778.7605994520547</v>
      </c>
      <c r="X125" s="32">
        <f t="shared" si="37"/>
        <v>1814.335811441096</v>
      </c>
      <c r="Y125" s="32">
        <f t="shared" si="38"/>
        <v>1849.911023430137</v>
      </c>
      <c r="Z125" s="94"/>
      <c r="AA125" s="94">
        <v>22000</v>
      </c>
      <c r="AB125" s="94">
        <f>AA125*3</f>
        <v>66000</v>
      </c>
      <c r="AC125" s="94"/>
      <c r="AI125" s="87">
        <v>105</v>
      </c>
      <c r="AJ125" s="88" t="s">
        <v>4491</v>
      </c>
      <c r="AK125" s="88">
        <v>88697667</v>
      </c>
      <c r="AL125" s="87">
        <v>1</v>
      </c>
      <c r="AM125" s="87">
        <f t="shared" si="39"/>
        <v>1015</v>
      </c>
      <c r="AN125" s="88">
        <f t="shared" si="40"/>
        <v>90028132005</v>
      </c>
      <c r="AO125" s="87" t="s">
        <v>4562</v>
      </c>
      <c r="AQ125" t="s">
        <v>25</v>
      </c>
    </row>
    <row r="126" spans="6:47">
      <c r="F126" s="94"/>
      <c r="G126" s="32">
        <f>(N29+N31+N36+N51+N52+N30+N53+N49)/P48</f>
        <v>2386026.5558194774</v>
      </c>
      <c r="H126" s="274" t="s">
        <v>5432</v>
      </c>
      <c r="I126" s="32">
        <f>(N48+N51+N35+N31+N28+N29+N30+N36+N53+N49)/P52</f>
        <v>515917.25199280021</v>
      </c>
      <c r="J126" s="112"/>
      <c r="K126" s="94"/>
      <c r="L126" s="94" t="s">
        <v>25</v>
      </c>
      <c r="M126" s="94"/>
      <c r="R126" s="167"/>
      <c r="S126" s="205" t="s">
        <v>5759</v>
      </c>
      <c r="T126" s="205">
        <f>T125-8</f>
        <v>381</v>
      </c>
      <c r="U126" s="205" t="s">
        <v>5775</v>
      </c>
      <c r="V126" s="205">
        <v>1266</v>
      </c>
      <c r="W126" s="97">
        <f t="shared" si="36"/>
        <v>1655.2620493150687</v>
      </c>
      <c r="X126" s="32">
        <f t="shared" si="37"/>
        <v>1688.3672903013701</v>
      </c>
      <c r="Y126" s="32">
        <f t="shared" si="38"/>
        <v>1721.4725312876715</v>
      </c>
      <c r="Z126" s="94"/>
      <c r="AA126" s="94">
        <v>62174</v>
      </c>
      <c r="AB126" s="423">
        <f t="shared" ref="AB126:AB133" si="41">AA126*3</f>
        <v>186522</v>
      </c>
      <c r="AC126" s="94" t="s">
        <v>25</v>
      </c>
      <c r="AI126" s="97">
        <v>106</v>
      </c>
      <c r="AJ126" s="111" t="s">
        <v>4494</v>
      </c>
      <c r="AK126" s="111">
        <v>101000</v>
      </c>
      <c r="AL126" s="97">
        <v>0</v>
      </c>
      <c r="AM126" s="97">
        <f t="shared" si="39"/>
        <v>1014</v>
      </c>
      <c r="AN126" s="115">
        <f t="shared" si="40"/>
        <v>102414000</v>
      </c>
      <c r="AO126" s="97"/>
      <c r="AR126" t="s">
        <v>25</v>
      </c>
    </row>
    <row r="127" spans="6:47">
      <c r="F127" s="94"/>
      <c r="G127" s="32">
        <f>G125+G126</f>
        <v>7943001.5558194779</v>
      </c>
      <c r="H127" s="32" t="s">
        <v>5433</v>
      </c>
      <c r="I127" s="32">
        <f>I125+I126</f>
        <v>515917.25199280021</v>
      </c>
      <c r="J127" s="112"/>
      <c r="K127" s="94"/>
      <c r="L127" s="94"/>
      <c r="N127" s="94"/>
      <c r="R127" s="167"/>
      <c r="S127" s="205" t="s">
        <v>5776</v>
      </c>
      <c r="T127" s="205">
        <f>T126-13</f>
        <v>368</v>
      </c>
      <c r="U127" s="205" t="s">
        <v>6249</v>
      </c>
      <c r="V127" s="205">
        <v>1275</v>
      </c>
      <c r="W127" s="97">
        <f t="shared" si="36"/>
        <v>1654.3142465753426</v>
      </c>
      <c r="X127" s="32">
        <f t="shared" si="37"/>
        <v>1687.4005315068496</v>
      </c>
      <c r="Y127" s="32">
        <f t="shared" si="38"/>
        <v>1720.4868164383563</v>
      </c>
      <c r="Z127" s="94"/>
      <c r="AA127" s="94">
        <v>6826</v>
      </c>
      <c r="AB127" s="423">
        <f t="shared" si="41"/>
        <v>20478</v>
      </c>
      <c r="AC127" s="94"/>
      <c r="AD127" t="s">
        <v>25</v>
      </c>
      <c r="AI127" s="147">
        <v>107</v>
      </c>
      <c r="AJ127" s="186" t="s">
        <v>4559</v>
      </c>
      <c r="AK127" s="186">
        <v>-48200</v>
      </c>
      <c r="AL127" s="147">
        <v>0</v>
      </c>
      <c r="AM127" s="147">
        <f t="shared" ref="AM127:AM177" si="42">AM128+AL127</f>
        <v>1014</v>
      </c>
      <c r="AN127" s="186">
        <f t="shared" si="40"/>
        <v>-48874800</v>
      </c>
      <c r="AO127" s="147" t="s">
        <v>4565</v>
      </c>
    </row>
    <row r="128" spans="6:47">
      <c r="F128" s="94"/>
      <c r="G128" s="32">
        <f>(X160+X161)/P48</f>
        <v>414494.42305439617</v>
      </c>
      <c r="H128" s="32" t="s">
        <v>5413</v>
      </c>
      <c r="I128" s="32">
        <f>(X160+X161)/P52</f>
        <v>26922.419970054121</v>
      </c>
      <c r="J128" s="112"/>
      <c r="K128" s="94"/>
      <c r="L128" s="94"/>
      <c r="M128" s="94"/>
      <c r="N128" s="94"/>
      <c r="R128" s="167"/>
      <c r="S128" s="205" t="s">
        <v>6250</v>
      </c>
      <c r="T128" s="205">
        <f>T127-117</f>
        <v>251</v>
      </c>
      <c r="U128" s="205" t="s">
        <v>6251</v>
      </c>
      <c r="V128" s="205">
        <v>1310</v>
      </c>
      <c r="W128" s="97">
        <f t="shared" si="36"/>
        <v>1582.1498082191783</v>
      </c>
      <c r="X128" s="32">
        <f t="shared" si="37"/>
        <v>1613.792804383562</v>
      </c>
      <c r="Y128" s="32">
        <f t="shared" si="38"/>
        <v>1645.4358005479455</v>
      </c>
      <c r="Z128" s="94"/>
      <c r="AA128" s="94">
        <v>22240</v>
      </c>
      <c r="AB128" s="423">
        <f t="shared" si="41"/>
        <v>66720</v>
      </c>
      <c r="AC128" t="s">
        <v>25</v>
      </c>
      <c r="AI128" s="87">
        <v>108</v>
      </c>
      <c r="AJ128" s="88" t="s">
        <v>4559</v>
      </c>
      <c r="AK128" s="88">
        <v>39327293</v>
      </c>
      <c r="AL128" s="87">
        <v>4</v>
      </c>
      <c r="AM128" s="147">
        <f t="shared" si="42"/>
        <v>1014</v>
      </c>
      <c r="AN128" s="186">
        <f t="shared" si="40"/>
        <v>39877875102</v>
      </c>
      <c r="AO128" s="87" t="s">
        <v>4566</v>
      </c>
    </row>
    <row r="129" spans="6:44">
      <c r="F129" s="94"/>
      <c r="G129" s="32">
        <f>X158/P48</f>
        <v>2973293.8349061799</v>
      </c>
      <c r="H129" s="32" t="s">
        <v>480</v>
      </c>
      <c r="I129" s="32">
        <f>X158/P52</f>
        <v>193122.65947474955</v>
      </c>
      <c r="J129" s="112"/>
      <c r="K129" s="94"/>
      <c r="L129" s="94"/>
      <c r="N129" s="94"/>
      <c r="R129" s="167"/>
      <c r="S129" s="205" t="s">
        <v>6259</v>
      </c>
      <c r="T129" s="205">
        <f>T128-4</f>
        <v>247</v>
      </c>
      <c r="U129" s="205" t="s">
        <v>6393</v>
      </c>
      <c r="V129" s="205">
        <v>1388</v>
      </c>
      <c r="W129" s="97">
        <f t="shared" si="36"/>
        <v>1672.0950794520547</v>
      </c>
      <c r="X129" s="32">
        <f t="shared" si="37"/>
        <v>1705.5369810410959</v>
      </c>
      <c r="Y129" s="32">
        <f t="shared" si="38"/>
        <v>1738.9788826301369</v>
      </c>
      <c r="Z129" s="94"/>
      <c r="AA129" s="94">
        <v>356260</v>
      </c>
      <c r="AB129" s="423">
        <f t="shared" si="41"/>
        <v>1068780</v>
      </c>
      <c r="AI129" s="87">
        <v>109</v>
      </c>
      <c r="AJ129" s="88" t="s">
        <v>4580</v>
      </c>
      <c r="AK129" s="88">
        <v>8749050</v>
      </c>
      <c r="AL129" s="87">
        <v>1</v>
      </c>
      <c r="AM129" s="87">
        <f t="shared" si="42"/>
        <v>1010</v>
      </c>
      <c r="AN129" s="88">
        <f t="shared" si="40"/>
        <v>8836540500</v>
      </c>
      <c r="AO129" s="87" t="s">
        <v>4581</v>
      </c>
    </row>
    <row r="130" spans="6:44">
      <c r="F130" s="94"/>
      <c r="G130" s="32">
        <f>G127-G128-G129</f>
        <v>4555213.2978589013</v>
      </c>
      <c r="H130" s="32" t="s">
        <v>5</v>
      </c>
      <c r="I130" s="32">
        <f>I127-I128-I129</f>
        <v>295872.17254799651</v>
      </c>
      <c r="J130" s="112"/>
      <c r="K130" s="94"/>
      <c r="L130" s="94"/>
      <c r="M130" t="s">
        <v>25</v>
      </c>
      <c r="N130" s="94"/>
      <c r="R130" s="167"/>
      <c r="S130" s="205" t="s">
        <v>6399</v>
      </c>
      <c r="T130" s="205">
        <f>T129-39</f>
        <v>208</v>
      </c>
      <c r="U130" s="205" t="s">
        <v>6705</v>
      </c>
      <c r="V130" s="205">
        <v>1702</v>
      </c>
      <c r="W130" s="97">
        <f t="shared" si="36"/>
        <v>1999.4443178082195</v>
      </c>
      <c r="X130" s="32">
        <f t="shared" ref="X130:X136" si="43">W130*(1+$X$19/100)</f>
        <v>2039.4332041643838</v>
      </c>
      <c r="Y130" s="32">
        <f t="shared" ref="Y130:Y136" si="44">W130*(1+$Y$19/100)</f>
        <v>2079.4220905205484</v>
      </c>
      <c r="Z130" s="339"/>
      <c r="AA130" s="339">
        <v>1001</v>
      </c>
      <c r="AB130" s="423">
        <f t="shared" si="41"/>
        <v>3003</v>
      </c>
      <c r="AI130" s="97">
        <v>110</v>
      </c>
      <c r="AJ130" s="111" t="s">
        <v>4582</v>
      </c>
      <c r="AK130" s="111">
        <v>60000</v>
      </c>
      <c r="AL130" s="97">
        <v>1</v>
      </c>
      <c r="AM130" s="97">
        <f t="shared" si="42"/>
        <v>1009</v>
      </c>
      <c r="AN130" s="115">
        <f t="shared" si="40"/>
        <v>60540000</v>
      </c>
      <c r="AO130" s="97" t="s">
        <v>4583</v>
      </c>
    </row>
    <row r="131" spans="6:44">
      <c r="N131" s="94"/>
      <c r="R131" s="167"/>
      <c r="S131" s="205" t="s">
        <v>6708</v>
      </c>
      <c r="T131" s="205">
        <f>T115-1086</f>
        <v>180</v>
      </c>
      <c r="U131" s="205" t="s">
        <v>6710</v>
      </c>
      <c r="V131" s="205">
        <v>1555</v>
      </c>
      <c r="W131" s="97">
        <f t="shared" si="36"/>
        <v>1793.3538082191783</v>
      </c>
      <c r="X131" s="32">
        <f t="shared" si="43"/>
        <v>1829.220884383562</v>
      </c>
      <c r="Y131" s="32">
        <f t="shared" si="44"/>
        <v>1865.0879605479454</v>
      </c>
      <c r="Z131" s="371"/>
      <c r="AA131" s="371">
        <v>93469</v>
      </c>
      <c r="AB131" s="423">
        <f t="shared" si="41"/>
        <v>280407</v>
      </c>
      <c r="AI131" s="20">
        <v>111</v>
      </c>
      <c r="AJ131" s="115" t="s">
        <v>4591</v>
      </c>
      <c r="AK131" s="115">
        <v>4750000</v>
      </c>
      <c r="AL131" s="20">
        <v>0</v>
      </c>
      <c r="AM131" s="97">
        <f t="shared" si="42"/>
        <v>1008</v>
      </c>
      <c r="AN131" s="115">
        <f t="shared" si="40"/>
        <v>4788000000</v>
      </c>
      <c r="AO131" s="20"/>
      <c r="AR131" t="s">
        <v>25</v>
      </c>
    </row>
    <row r="132" spans="6:44">
      <c r="N132" s="94"/>
      <c r="R132" s="167"/>
      <c r="S132" s="205" t="s">
        <v>6714</v>
      </c>
      <c r="T132" s="205">
        <f>T115-1100</f>
        <v>166</v>
      </c>
      <c r="U132" s="205" t="s">
        <v>6716</v>
      </c>
      <c r="V132" s="205">
        <v>1525</v>
      </c>
      <c r="W132" s="97">
        <f t="shared" si="36"/>
        <v>1742.3772602739725</v>
      </c>
      <c r="X132" s="32">
        <f t="shared" si="43"/>
        <v>1777.224805479452</v>
      </c>
      <c r="Y132" s="32">
        <f t="shared" si="44"/>
        <v>1812.0723506849315</v>
      </c>
      <c r="Z132" s="374"/>
      <c r="AA132" s="374">
        <v>672591</v>
      </c>
      <c r="AB132" s="423">
        <f t="shared" si="41"/>
        <v>2017773</v>
      </c>
      <c r="AD132" t="s">
        <v>25</v>
      </c>
      <c r="AI132" s="87">
        <v>112</v>
      </c>
      <c r="AJ132" s="88" t="s">
        <v>4591</v>
      </c>
      <c r="AK132" s="88">
        <v>13101160</v>
      </c>
      <c r="AL132" s="87">
        <v>1</v>
      </c>
      <c r="AM132" s="87">
        <f t="shared" si="42"/>
        <v>1008</v>
      </c>
      <c r="AN132" s="88">
        <f t="shared" si="40"/>
        <v>13205969280</v>
      </c>
      <c r="AO132" s="87" t="s">
        <v>4594</v>
      </c>
    </row>
    <row r="133" spans="6:44">
      <c r="K133" s="94"/>
      <c r="L133" s="94"/>
      <c r="R133" s="167"/>
      <c r="S133" s="205" t="s">
        <v>6717</v>
      </c>
      <c r="T133" s="205">
        <f>T115-1102</f>
        <v>164</v>
      </c>
      <c r="U133" s="205" t="s">
        <v>6718</v>
      </c>
      <c r="V133" s="205">
        <v>1541</v>
      </c>
      <c r="W133" s="97">
        <f t="shared" si="36"/>
        <v>1758.2936657534249</v>
      </c>
      <c r="X133" s="32">
        <f t="shared" si="43"/>
        <v>1793.4595390684933</v>
      </c>
      <c r="Y133" s="32">
        <f t="shared" si="44"/>
        <v>1828.625412383562</v>
      </c>
      <c r="Z133" s="374"/>
      <c r="AA133" s="374">
        <v>120598</v>
      </c>
      <c r="AB133" s="423">
        <f t="shared" si="41"/>
        <v>361794</v>
      </c>
      <c r="AI133" s="20">
        <v>113</v>
      </c>
      <c r="AJ133" s="115" t="s">
        <v>4593</v>
      </c>
      <c r="AK133" s="115">
        <v>-980000</v>
      </c>
      <c r="AL133" s="20">
        <v>0</v>
      </c>
      <c r="AM133" s="97">
        <f t="shared" si="42"/>
        <v>1007</v>
      </c>
      <c r="AN133" s="115">
        <f t="shared" si="40"/>
        <v>-986860000</v>
      </c>
      <c r="AO133" s="20"/>
    </row>
    <row r="134" spans="6:44">
      <c r="P134" t="s">
        <v>25</v>
      </c>
      <c r="R134" s="167"/>
      <c r="S134" s="205" t="s">
        <v>6742</v>
      </c>
      <c r="T134" s="205">
        <f>T115-1113</f>
        <v>153</v>
      </c>
      <c r="U134" s="205" t="s">
        <v>6743</v>
      </c>
      <c r="V134" s="205">
        <v>1580</v>
      </c>
      <c r="W134" s="97">
        <f t="shared" si="36"/>
        <v>1789.460383561644</v>
      </c>
      <c r="X134" s="32">
        <f t="shared" si="43"/>
        <v>1825.2495912328768</v>
      </c>
      <c r="Y134" s="32">
        <f t="shared" si="44"/>
        <v>1861.0387989041099</v>
      </c>
      <c r="Z134" s="390">
        <v>45255</v>
      </c>
      <c r="AA134" s="390"/>
      <c r="AB134" s="423"/>
      <c r="AI134" s="87">
        <v>114</v>
      </c>
      <c r="AJ134" s="88" t="s">
        <v>4593</v>
      </c>
      <c r="AK134" s="88">
        <v>13301790</v>
      </c>
      <c r="AL134" s="87">
        <v>0</v>
      </c>
      <c r="AM134" s="87">
        <f t="shared" si="42"/>
        <v>1007</v>
      </c>
      <c r="AN134" s="88">
        <f t="shared" si="40"/>
        <v>13394902530</v>
      </c>
      <c r="AO134" s="87" t="s">
        <v>4594</v>
      </c>
      <c r="AR134" t="s">
        <v>25</v>
      </c>
    </row>
    <row r="135" spans="6:44">
      <c r="G135" s="32" t="s">
        <v>180</v>
      </c>
      <c r="H135" s="32" t="s">
        <v>5434</v>
      </c>
      <c r="I135" s="205" t="s">
        <v>5435</v>
      </c>
      <c r="J135" s="205" t="s">
        <v>5436</v>
      </c>
      <c r="K135" s="32" t="s">
        <v>5437</v>
      </c>
      <c r="L135" s="97" t="s">
        <v>5451</v>
      </c>
      <c r="M135" s="97" t="s">
        <v>5452</v>
      </c>
      <c r="R135" s="167"/>
      <c r="S135" s="205" t="s">
        <v>6744</v>
      </c>
      <c r="T135" s="205">
        <f>T115-1114</f>
        <v>152</v>
      </c>
      <c r="U135" s="205" t="s">
        <v>6745</v>
      </c>
      <c r="V135" s="205">
        <v>1560</v>
      </c>
      <c r="W135" s="97">
        <f t="shared" si="36"/>
        <v>1765.6122739726029</v>
      </c>
      <c r="X135" s="32">
        <f t="shared" si="43"/>
        <v>1800.9245194520549</v>
      </c>
      <c r="Y135" s="32">
        <f t="shared" si="44"/>
        <v>1836.2367649315072</v>
      </c>
      <c r="Z135" s="390">
        <v>48918</v>
      </c>
      <c r="AA135" s="390"/>
      <c r="AB135" s="423"/>
      <c r="AD135" t="s">
        <v>25</v>
      </c>
      <c r="AI135" s="20">
        <v>115</v>
      </c>
      <c r="AJ135" s="115" t="s">
        <v>4593</v>
      </c>
      <c r="AK135" s="115">
        <v>404000</v>
      </c>
      <c r="AL135" s="20">
        <v>5</v>
      </c>
      <c r="AM135" s="97">
        <f t="shared" si="42"/>
        <v>1007</v>
      </c>
      <c r="AN135" s="115">
        <f t="shared" si="40"/>
        <v>406828000</v>
      </c>
      <c r="AO135" s="20" t="s">
        <v>4600</v>
      </c>
    </row>
    <row r="136" spans="6:44">
      <c r="G136" s="32" t="s">
        <v>5426</v>
      </c>
      <c r="H136" s="32">
        <v>3256760</v>
      </c>
      <c r="I136" s="205">
        <v>245992</v>
      </c>
      <c r="J136" s="205">
        <v>2544443</v>
      </c>
      <c r="K136" s="32">
        <v>192693</v>
      </c>
      <c r="L136" s="97">
        <f t="shared" ref="L136:L145" si="45">H136+J136</f>
        <v>5801203</v>
      </c>
      <c r="M136" s="97">
        <f t="shared" ref="M136:M145" si="46">I136+K136</f>
        <v>438685</v>
      </c>
      <c r="R136" s="167"/>
      <c r="S136" s="205" t="s">
        <v>6746</v>
      </c>
      <c r="T136" s="205">
        <f>T115-1117</f>
        <v>149</v>
      </c>
      <c r="U136" s="205" t="s">
        <v>6754</v>
      </c>
      <c r="V136" s="205">
        <v>1496</v>
      </c>
      <c r="W136" s="97">
        <f t="shared" si="36"/>
        <v>1689.7340493150687</v>
      </c>
      <c r="X136" s="32">
        <f t="shared" si="43"/>
        <v>1723.5287303013702</v>
      </c>
      <c r="Y136" s="32">
        <f t="shared" si="44"/>
        <v>1757.3234112876714</v>
      </c>
      <c r="Z136" s="391">
        <v>83166</v>
      </c>
      <c r="AA136" s="391"/>
      <c r="AB136" s="423"/>
      <c r="AI136" s="87">
        <v>116</v>
      </c>
      <c r="AJ136" s="88" t="s">
        <v>4606</v>
      </c>
      <c r="AK136" s="88">
        <v>4291628</v>
      </c>
      <c r="AL136" s="87">
        <v>2</v>
      </c>
      <c r="AM136" s="87">
        <f t="shared" si="42"/>
        <v>1002</v>
      </c>
      <c r="AN136" s="88">
        <f t="shared" si="40"/>
        <v>4300211256</v>
      </c>
      <c r="AO136" s="87" t="s">
        <v>4607</v>
      </c>
    </row>
    <row r="137" spans="6:44">
      <c r="G137" s="32" t="s">
        <v>5438</v>
      </c>
      <c r="H137" s="32">
        <v>3245022</v>
      </c>
      <c r="I137" s="205">
        <v>249261</v>
      </c>
      <c r="J137" s="205">
        <v>2532877</v>
      </c>
      <c r="K137" s="32">
        <v>195062</v>
      </c>
      <c r="L137" s="97">
        <f t="shared" si="45"/>
        <v>5777899</v>
      </c>
      <c r="M137" s="97">
        <f t="shared" si="46"/>
        <v>444323</v>
      </c>
      <c r="R137" s="167"/>
      <c r="S137" s="205" t="s">
        <v>6763</v>
      </c>
      <c r="T137" s="205">
        <f>T115-1134</f>
        <v>132</v>
      </c>
      <c r="U137" s="205" t="s">
        <v>6764</v>
      </c>
      <c r="V137" s="205">
        <v>1495</v>
      </c>
      <c r="W137" s="97">
        <f t="shared" si="36"/>
        <v>1669.1081095890413</v>
      </c>
      <c r="X137" s="32">
        <f>W137*(1+$X$19/100)</f>
        <v>1702.4902717808222</v>
      </c>
      <c r="Y137" s="32">
        <f>W137*(1+$Y$19/100)</f>
        <v>1735.8724339726029</v>
      </c>
      <c r="Z137" s="398">
        <v>50661</v>
      </c>
      <c r="AA137" s="398"/>
      <c r="AB137" s="398"/>
      <c r="AD137" t="s">
        <v>25</v>
      </c>
      <c r="AI137" s="20">
        <v>117</v>
      </c>
      <c r="AJ137" s="115" t="s">
        <v>4609</v>
      </c>
      <c r="AK137" s="115">
        <v>1000</v>
      </c>
      <c r="AL137" s="20">
        <v>5</v>
      </c>
      <c r="AM137" s="20">
        <f t="shared" si="42"/>
        <v>1000</v>
      </c>
      <c r="AN137" s="115">
        <f t="shared" si="40"/>
        <v>1000000</v>
      </c>
      <c r="AO137" s="20"/>
    </row>
    <row r="138" spans="6:44">
      <c r="G138" s="32" t="s">
        <v>5439</v>
      </c>
      <c r="H138" s="32"/>
      <c r="I138" s="205"/>
      <c r="J138" s="205"/>
      <c r="K138" s="32"/>
      <c r="L138" s="97">
        <f t="shared" si="45"/>
        <v>0</v>
      </c>
      <c r="M138" s="97">
        <f t="shared" si="46"/>
        <v>0</v>
      </c>
      <c r="R138" s="167"/>
      <c r="S138" s="205" t="s">
        <v>6766</v>
      </c>
      <c r="T138" s="205">
        <f>T115-1135</f>
        <v>131</v>
      </c>
      <c r="U138" s="205" t="s">
        <v>6859</v>
      </c>
      <c r="V138" s="205">
        <v>1439</v>
      </c>
      <c r="W138" s="97">
        <f t="shared" si="36"/>
        <v>1605.4824438356168</v>
      </c>
      <c r="X138" s="32">
        <f>W138*(1+$X$19/100)</f>
        <v>1637.5920927123291</v>
      </c>
      <c r="Y138" s="32">
        <f>W138*(1+$Y$19/100)</f>
        <v>1669.7017415890416</v>
      </c>
      <c r="Z138" s="398">
        <v>50767</v>
      </c>
      <c r="AA138" s="398"/>
      <c r="AB138" s="398"/>
      <c r="AI138" s="119">
        <v>118</v>
      </c>
      <c r="AJ138" s="77" t="s">
        <v>4617</v>
      </c>
      <c r="AK138" s="77">
        <v>8739459</v>
      </c>
      <c r="AL138" s="119">
        <v>2</v>
      </c>
      <c r="AM138" s="119">
        <f t="shared" si="42"/>
        <v>995</v>
      </c>
      <c r="AN138" s="77">
        <f t="shared" si="40"/>
        <v>8695761705</v>
      </c>
      <c r="AO138" s="119" t="s">
        <v>4581</v>
      </c>
    </row>
    <row r="139" spans="6:44">
      <c r="G139" s="32" t="s">
        <v>5440</v>
      </c>
      <c r="H139" s="32"/>
      <c r="I139" s="205"/>
      <c r="J139" s="205"/>
      <c r="K139" s="32"/>
      <c r="L139" s="97">
        <f t="shared" si="45"/>
        <v>0</v>
      </c>
      <c r="M139" s="97">
        <f t="shared" si="46"/>
        <v>0</v>
      </c>
      <c r="N139" s="94"/>
      <c r="R139" s="167"/>
      <c r="S139" s="205" t="s">
        <v>6860</v>
      </c>
      <c r="T139" s="205">
        <f>T115-1183</f>
        <v>83</v>
      </c>
      <c r="U139" s="205" t="s">
        <v>6861</v>
      </c>
      <c r="V139" s="205">
        <v>1427</v>
      </c>
      <c r="W139" s="97">
        <f t="shared" si="36"/>
        <v>1539.5492493150687</v>
      </c>
      <c r="X139" s="32">
        <f>W139*(1+$X$19/100)</f>
        <v>1570.3402343013702</v>
      </c>
      <c r="Y139" s="32">
        <f>W139*(1+$Y$19/100)</f>
        <v>1601.1312192876715</v>
      </c>
      <c r="Z139" s="426">
        <v>9610</v>
      </c>
      <c r="AA139" s="426"/>
      <c r="AB139" s="426"/>
      <c r="AI139" s="119">
        <v>119</v>
      </c>
      <c r="AJ139" s="77" t="s">
        <v>4618</v>
      </c>
      <c r="AK139" s="77">
        <v>17595278</v>
      </c>
      <c r="AL139" s="119">
        <v>1</v>
      </c>
      <c r="AM139" s="119">
        <f t="shared" si="42"/>
        <v>993</v>
      </c>
      <c r="AN139" s="77">
        <f t="shared" si="40"/>
        <v>17472111054</v>
      </c>
      <c r="AO139" s="119" t="s">
        <v>4620</v>
      </c>
      <c r="AR139" t="s">
        <v>25</v>
      </c>
    </row>
    <row r="140" spans="6:44">
      <c r="G140" s="32" t="s">
        <v>5457</v>
      </c>
      <c r="H140" s="32">
        <v>3270584</v>
      </c>
      <c r="I140" s="205">
        <v>250916</v>
      </c>
      <c r="J140" s="205">
        <v>2496979</v>
      </c>
      <c r="K140" s="32">
        <v>203160</v>
      </c>
      <c r="L140" s="97">
        <f t="shared" si="45"/>
        <v>5767563</v>
      </c>
      <c r="M140" s="97">
        <f t="shared" si="46"/>
        <v>454076</v>
      </c>
      <c r="N140" s="94"/>
      <c r="R140" s="167"/>
      <c r="S140" s="205" t="s">
        <v>6862</v>
      </c>
      <c r="T140" s="205">
        <f>T115-1184</f>
        <v>82</v>
      </c>
      <c r="U140" s="205" t="s">
        <v>6946</v>
      </c>
      <c r="V140" s="205">
        <v>1426</v>
      </c>
      <c r="W140" s="97">
        <f t="shared" si="36"/>
        <v>1537.3764602739727</v>
      </c>
      <c r="X140" s="32">
        <f>W140*(1+$X$19/100)</f>
        <v>1568.1239894794521</v>
      </c>
      <c r="Y140" s="32">
        <f>W140*(1+$Y$19/100)</f>
        <v>1598.8715186849317</v>
      </c>
      <c r="Z140" s="426">
        <v>15623</v>
      </c>
      <c r="AA140" s="426"/>
      <c r="AB140" s="426"/>
      <c r="AI140" s="119">
        <v>120</v>
      </c>
      <c r="AJ140" s="77" t="s">
        <v>4619</v>
      </c>
      <c r="AK140" s="77">
        <v>13335309</v>
      </c>
      <c r="AL140" s="119">
        <v>13</v>
      </c>
      <c r="AM140" s="119">
        <f t="shared" si="42"/>
        <v>992</v>
      </c>
      <c r="AN140" s="77">
        <f t="shared" si="40"/>
        <v>13228626528</v>
      </c>
      <c r="AO140" s="119" t="s">
        <v>4594</v>
      </c>
    </row>
    <row r="141" spans="6:44">
      <c r="G141" s="32" t="s">
        <v>5458</v>
      </c>
      <c r="H141" s="32">
        <v>3225584</v>
      </c>
      <c r="I141" s="205">
        <v>260042</v>
      </c>
      <c r="J141" s="205">
        <v>2466124</v>
      </c>
      <c r="K141" s="32">
        <v>210439</v>
      </c>
      <c r="L141" s="97">
        <f t="shared" si="45"/>
        <v>5691708</v>
      </c>
      <c r="M141" s="97">
        <f t="shared" si="46"/>
        <v>470481</v>
      </c>
      <c r="N141" s="94"/>
      <c r="P141" t="s">
        <v>25</v>
      </c>
      <c r="R141" s="167"/>
      <c r="S141" s="205" t="s">
        <v>6913</v>
      </c>
      <c r="T141" s="205">
        <f>T115-1259</f>
        <v>7</v>
      </c>
      <c r="U141" s="205" t="s">
        <v>6914</v>
      </c>
      <c r="V141" s="205">
        <v>400</v>
      </c>
      <c r="W141" s="97">
        <f t="shared" si="36"/>
        <v>408.2279452054795</v>
      </c>
      <c r="X141" s="32">
        <f t="shared" ref="X141:X149" si="47">W141*(1+$X$19/100)</f>
        <v>416.39250410958908</v>
      </c>
      <c r="Y141" s="32">
        <f t="shared" ref="Y141:Y149" si="48">W141*(1+$Y$19/100)</f>
        <v>424.55706301369867</v>
      </c>
      <c r="Z141" s="448"/>
      <c r="AA141" s="448"/>
      <c r="AB141" s="448">
        <v>168884</v>
      </c>
      <c r="AC141" t="s">
        <v>25</v>
      </c>
      <c r="AI141" s="159">
        <v>121</v>
      </c>
      <c r="AJ141" s="215" t="s">
        <v>4668</v>
      </c>
      <c r="AK141" s="215">
        <v>50000000</v>
      </c>
      <c r="AL141" s="159">
        <v>11</v>
      </c>
      <c r="AM141" s="159">
        <f t="shared" si="42"/>
        <v>979</v>
      </c>
      <c r="AN141" s="215">
        <f t="shared" si="40"/>
        <v>48950000000</v>
      </c>
      <c r="AO141" s="159" t="s">
        <v>4669</v>
      </c>
      <c r="AQ141" t="s">
        <v>25</v>
      </c>
    </row>
    <row r="142" spans="6:44">
      <c r="G142" s="32" t="s">
        <v>5459</v>
      </c>
      <c r="H142" s="32">
        <v>3271778</v>
      </c>
      <c r="I142" s="205">
        <v>282233</v>
      </c>
      <c r="J142" s="205">
        <v>2458563</v>
      </c>
      <c r="K142" s="32">
        <v>212082</v>
      </c>
      <c r="L142" s="97">
        <f t="shared" si="45"/>
        <v>5730341</v>
      </c>
      <c r="M142" s="97">
        <f t="shared" si="46"/>
        <v>494315</v>
      </c>
      <c r="N142" s="94"/>
      <c r="O142" s="94"/>
      <c r="R142" s="167"/>
      <c r="S142" s="205" t="s">
        <v>6915</v>
      </c>
      <c r="T142" s="205">
        <f>T115-1260</f>
        <v>6</v>
      </c>
      <c r="U142" s="205" t="s">
        <v>6916</v>
      </c>
      <c r="V142" s="205">
        <v>405</v>
      </c>
      <c r="W142" s="97">
        <f t="shared" si="36"/>
        <v>413.02010958904111</v>
      </c>
      <c r="X142" s="32">
        <f t="shared" si="47"/>
        <v>421.28051178082194</v>
      </c>
      <c r="Y142" s="32">
        <f t="shared" si="48"/>
        <v>429.54091397260277</v>
      </c>
      <c r="Z142" s="449"/>
      <c r="AA142" s="449"/>
      <c r="AB142" s="449">
        <v>318991</v>
      </c>
      <c r="AI142" s="20">
        <v>122</v>
      </c>
      <c r="AJ142" s="115" t="s">
        <v>957</v>
      </c>
      <c r="AK142" s="115">
        <v>30000</v>
      </c>
      <c r="AL142" s="20">
        <v>3</v>
      </c>
      <c r="AM142" s="20">
        <f t="shared" si="42"/>
        <v>968</v>
      </c>
      <c r="AN142" s="115">
        <f t="shared" si="40"/>
        <v>29040000</v>
      </c>
      <c r="AO142" s="20"/>
    </row>
    <row r="143" spans="6:44">
      <c r="G143" s="32" t="s">
        <v>5465</v>
      </c>
      <c r="H143" s="32">
        <v>3298939</v>
      </c>
      <c r="I143" s="205">
        <v>281309</v>
      </c>
      <c r="J143" s="205">
        <v>2465538</v>
      </c>
      <c r="K143" s="32">
        <v>210242</v>
      </c>
      <c r="L143" s="97">
        <f t="shared" si="45"/>
        <v>5764477</v>
      </c>
      <c r="M143" s="97">
        <f t="shared" si="46"/>
        <v>491551</v>
      </c>
      <c r="N143" s="94"/>
      <c r="Q143" s="112"/>
      <c r="R143" s="167"/>
      <c r="S143" s="205" t="s">
        <v>6918</v>
      </c>
      <c r="T143" s="205">
        <f>T115-1261</f>
        <v>5</v>
      </c>
      <c r="U143" s="205" t="s">
        <v>6919</v>
      </c>
      <c r="V143" s="205">
        <v>419</v>
      </c>
      <c r="W143" s="97">
        <f t="shared" si="36"/>
        <v>426.97592328767126</v>
      </c>
      <c r="X143" s="32">
        <f t="shared" si="47"/>
        <v>435.51544175342468</v>
      </c>
      <c r="Y143" s="32">
        <f t="shared" si="48"/>
        <v>444.05496021917816</v>
      </c>
      <c r="Z143" s="449"/>
      <c r="AA143" s="449"/>
      <c r="AB143" s="449">
        <v>870463</v>
      </c>
      <c r="AI143" s="20">
        <v>123</v>
      </c>
      <c r="AJ143" s="115" t="s">
        <v>4724</v>
      </c>
      <c r="AK143" s="115">
        <v>600000</v>
      </c>
      <c r="AL143" s="20">
        <v>1</v>
      </c>
      <c r="AM143" s="20">
        <f t="shared" si="42"/>
        <v>965</v>
      </c>
      <c r="AN143" s="115">
        <f t="shared" si="40"/>
        <v>579000000</v>
      </c>
      <c r="AO143" s="20"/>
    </row>
    <row r="144" spans="6:44">
      <c r="G144" s="32" t="s">
        <v>5469</v>
      </c>
      <c r="H144" s="32">
        <v>3453903</v>
      </c>
      <c r="I144" s="205">
        <v>259725</v>
      </c>
      <c r="J144" s="205">
        <v>2541096</v>
      </c>
      <c r="K144" s="32">
        <v>191084</v>
      </c>
      <c r="L144" s="97">
        <f t="shared" si="45"/>
        <v>5994999</v>
      </c>
      <c r="M144" s="97">
        <f t="shared" si="46"/>
        <v>450809</v>
      </c>
      <c r="N144" s="94"/>
      <c r="R144" s="167"/>
      <c r="S144" s="205" t="s">
        <v>6920</v>
      </c>
      <c r="T144" s="205">
        <f>T115-1262</f>
        <v>4</v>
      </c>
      <c r="U144" s="205" t="s">
        <v>6921</v>
      </c>
      <c r="V144" s="205">
        <v>418</v>
      </c>
      <c r="W144" s="97">
        <f t="shared" si="36"/>
        <v>425.6362301369864</v>
      </c>
      <c r="X144" s="32">
        <f t="shared" si="47"/>
        <v>434.14895473972615</v>
      </c>
      <c r="Y144" s="32">
        <f t="shared" si="48"/>
        <v>442.66167934246585</v>
      </c>
      <c r="Z144" s="450"/>
      <c r="AA144" s="450"/>
      <c r="AB144" s="450">
        <v>73325</v>
      </c>
      <c r="AI144" s="20">
        <v>124</v>
      </c>
      <c r="AJ144" s="115" t="s">
        <v>4727</v>
      </c>
      <c r="AK144" s="115">
        <v>30000</v>
      </c>
      <c r="AL144" s="20">
        <v>3</v>
      </c>
      <c r="AM144" s="20">
        <f t="shared" si="42"/>
        <v>964</v>
      </c>
      <c r="AN144" s="115">
        <f t="shared" si="40"/>
        <v>28920000</v>
      </c>
      <c r="AO144" s="20"/>
    </row>
    <row r="145" spans="5:45">
      <c r="G145" s="32" t="s">
        <v>6241</v>
      </c>
      <c r="H145" s="32">
        <v>4796613</v>
      </c>
      <c r="I145" s="205">
        <v>250296</v>
      </c>
      <c r="J145" s="205">
        <v>2687591</v>
      </c>
      <c r="K145" s="32">
        <v>140243</v>
      </c>
      <c r="L145" s="97">
        <f t="shared" si="45"/>
        <v>7484204</v>
      </c>
      <c r="M145" s="97">
        <f t="shared" si="46"/>
        <v>390539</v>
      </c>
      <c r="N145" s="94"/>
      <c r="P145" t="s">
        <v>25</v>
      </c>
      <c r="R145" s="167"/>
      <c r="S145" s="205" t="s">
        <v>6926</v>
      </c>
      <c r="T145" s="205">
        <f>T115-1263</f>
        <v>3</v>
      </c>
      <c r="U145" s="205" t="s">
        <v>6927</v>
      </c>
      <c r="V145" s="205">
        <v>415</v>
      </c>
      <c r="W145" s="97">
        <f t="shared" si="36"/>
        <v>422.26306849315068</v>
      </c>
      <c r="X145" s="32">
        <f t="shared" si="47"/>
        <v>430.70832986301372</v>
      </c>
      <c r="Y145" s="32">
        <f t="shared" si="48"/>
        <v>439.15359123287675</v>
      </c>
      <c r="Z145" s="450"/>
      <c r="AA145" s="450"/>
      <c r="AB145" s="450">
        <v>474047</v>
      </c>
      <c r="AC145" t="s">
        <v>25</v>
      </c>
      <c r="AD145" t="s">
        <v>25</v>
      </c>
      <c r="AI145" s="20">
        <v>125</v>
      </c>
      <c r="AJ145" s="115" t="s">
        <v>4733</v>
      </c>
      <c r="AK145" s="115">
        <v>2250000</v>
      </c>
      <c r="AL145" s="20">
        <v>1</v>
      </c>
      <c r="AM145" s="20">
        <f t="shared" si="42"/>
        <v>961</v>
      </c>
      <c r="AN145" s="115">
        <f>AK145*AM145</f>
        <v>2162250000</v>
      </c>
      <c r="AO145" s="20"/>
      <c r="AS145" t="s">
        <v>25</v>
      </c>
    </row>
    <row r="146" spans="5:45">
      <c r="G146" s="32"/>
      <c r="H146" s="32"/>
      <c r="I146" s="205"/>
      <c r="J146" s="205"/>
      <c r="K146" s="32"/>
      <c r="L146" s="97"/>
      <c r="M146" s="97"/>
      <c r="R146" s="167"/>
      <c r="S146" s="205" t="s">
        <v>6942</v>
      </c>
      <c r="T146" s="205">
        <f>T115-1266</f>
        <v>0</v>
      </c>
      <c r="U146" s="205" t="s">
        <v>6945</v>
      </c>
      <c r="V146" s="205">
        <v>407.1</v>
      </c>
      <c r="W146" s="97">
        <f t="shared" si="36"/>
        <v>413.28792000000004</v>
      </c>
      <c r="X146" s="32">
        <f t="shared" si="47"/>
        <v>421.55367840000002</v>
      </c>
      <c r="Y146" s="32">
        <f t="shared" si="48"/>
        <v>429.81943680000006</v>
      </c>
      <c r="Z146" s="449"/>
      <c r="AA146" s="449"/>
      <c r="AB146" s="449">
        <v>2912</v>
      </c>
      <c r="AC146" s="94"/>
      <c r="AI146" s="23">
        <v>126</v>
      </c>
      <c r="AJ146" s="35" t="s">
        <v>4738</v>
      </c>
      <c r="AK146" s="35">
        <v>-31412200</v>
      </c>
      <c r="AL146" s="23">
        <v>1</v>
      </c>
      <c r="AM146" s="20">
        <f t="shared" si="42"/>
        <v>960</v>
      </c>
      <c r="AN146" s="35">
        <f>AK146*AM146</f>
        <v>-30155712000</v>
      </c>
      <c r="AO146" s="23" t="s">
        <v>4726</v>
      </c>
    </row>
    <row r="147" spans="5:45">
      <c r="G147" s="32"/>
      <c r="H147" s="32"/>
      <c r="I147" s="205"/>
      <c r="J147" s="205"/>
      <c r="K147" s="32"/>
      <c r="L147" s="97">
        <f>H147+J147</f>
        <v>0</v>
      </c>
      <c r="M147" s="97">
        <f>I147+K147</f>
        <v>0</v>
      </c>
      <c r="R147" s="167"/>
      <c r="S147" s="205"/>
      <c r="T147" s="205"/>
      <c r="U147" s="205"/>
      <c r="V147" s="205"/>
      <c r="W147" s="97"/>
      <c r="X147" s="32"/>
      <c r="Y147" s="32"/>
      <c r="Z147" s="447"/>
      <c r="AA147" s="447"/>
      <c r="AB147" s="447"/>
      <c r="AC147" s="94"/>
      <c r="AI147" s="20">
        <v>127</v>
      </c>
      <c r="AJ147" s="115" t="s">
        <v>4747</v>
      </c>
      <c r="AK147" s="115">
        <v>70000</v>
      </c>
      <c r="AL147" s="20">
        <v>9</v>
      </c>
      <c r="AM147" s="20">
        <f t="shared" si="42"/>
        <v>959</v>
      </c>
      <c r="AN147" s="115">
        <f>AK147*AM147</f>
        <v>67130000</v>
      </c>
      <c r="AO147" s="20"/>
    </row>
    <row r="148" spans="5:45">
      <c r="N148" s="112"/>
      <c r="R148" s="167"/>
      <c r="S148" s="205"/>
      <c r="T148" s="205" t="s">
        <v>25</v>
      </c>
      <c r="U148" s="205" t="s">
        <v>25</v>
      </c>
      <c r="V148" s="205"/>
      <c r="W148" s="97" t="e">
        <f>V148*(1+$S$111+$R$15*T148/36500)</f>
        <v>#VALUE!</v>
      </c>
      <c r="X148" s="32" t="e">
        <f t="shared" si="47"/>
        <v>#VALUE!</v>
      </c>
      <c r="Y148" s="32" t="e">
        <f t="shared" si="48"/>
        <v>#VALUE!</v>
      </c>
      <c r="Z148" s="94"/>
      <c r="AA148" s="94" t="s">
        <v>25</v>
      </c>
      <c r="AB148" s="321"/>
      <c r="AC148" t="s">
        <v>25</v>
      </c>
      <c r="AI148" s="97">
        <v>128</v>
      </c>
      <c r="AJ148" s="111" t="s">
        <v>4753</v>
      </c>
      <c r="AK148" s="111">
        <v>20000</v>
      </c>
      <c r="AL148" s="97">
        <v>10</v>
      </c>
      <c r="AM148" s="20">
        <f t="shared" si="42"/>
        <v>950</v>
      </c>
      <c r="AN148" s="115">
        <f>AK148*AM148</f>
        <v>19000000</v>
      </c>
      <c r="AO148" s="20"/>
      <c r="AQ148" t="s">
        <v>25</v>
      </c>
    </row>
    <row r="149" spans="5:45">
      <c r="P149" s="112"/>
      <c r="Q149" s="112"/>
      <c r="R149" s="167"/>
      <c r="S149" s="166"/>
      <c r="T149" s="166"/>
      <c r="U149" s="166" t="s">
        <v>25</v>
      </c>
      <c r="V149" s="166"/>
      <c r="W149" s="97">
        <f>V149*(1+$S$111+$R$15*T149/36500)</f>
        <v>0</v>
      </c>
      <c r="X149" s="32">
        <f t="shared" si="47"/>
        <v>0</v>
      </c>
      <c r="Y149" s="32">
        <f t="shared" si="48"/>
        <v>0</v>
      </c>
      <c r="Z149" t="s">
        <v>25</v>
      </c>
      <c r="AA149" t="s">
        <v>25</v>
      </c>
      <c r="AB149" s="94" t="s">
        <v>25</v>
      </c>
      <c r="AI149" s="97">
        <v>129</v>
      </c>
      <c r="AJ149" s="111" t="s">
        <v>4773</v>
      </c>
      <c r="AK149" s="111">
        <v>1000000</v>
      </c>
      <c r="AL149" s="97">
        <v>1</v>
      </c>
      <c r="AM149" s="20">
        <f t="shared" si="42"/>
        <v>940</v>
      </c>
      <c r="AN149" s="115">
        <f>AK149*AM149</f>
        <v>940000000</v>
      </c>
      <c r="AO149" s="20"/>
    </row>
    <row r="150" spans="5:45">
      <c r="E150" s="121"/>
      <c r="K150" t="s">
        <v>25</v>
      </c>
      <c r="M150" t="s">
        <v>25</v>
      </c>
      <c r="N150" s="112"/>
      <c r="O150" s="94"/>
      <c r="R150" s="111">
        <f>SUM(N52:N56)-SUM(R115:R149)</f>
        <v>-1877717018.63133</v>
      </c>
      <c r="S150" s="110"/>
      <c r="T150" s="110"/>
      <c r="U150" s="110"/>
      <c r="V150" s="166"/>
      <c r="W150" s="97" t="s">
        <v>25</v>
      </c>
      <c r="X150" s="32"/>
      <c r="Y150" s="32"/>
      <c r="Z150" t="s">
        <v>25</v>
      </c>
      <c r="AA150" t="s">
        <v>25</v>
      </c>
      <c r="AB150" s="94" t="s">
        <v>25</v>
      </c>
      <c r="AD150" s="112" t="s">
        <v>25</v>
      </c>
      <c r="AE150" s="112"/>
      <c r="AI150" s="97">
        <v>130</v>
      </c>
      <c r="AJ150" s="111" t="s">
        <v>4774</v>
      </c>
      <c r="AK150" s="111">
        <v>65630227</v>
      </c>
      <c r="AL150" s="97">
        <v>0</v>
      </c>
      <c r="AM150" s="20">
        <f t="shared" si="42"/>
        <v>939</v>
      </c>
      <c r="AN150" s="115">
        <f t="shared" ref="AN150:AN177" si="49">AK150*AM150</f>
        <v>61626783153</v>
      </c>
      <c r="AO150" s="20" t="s">
        <v>4777</v>
      </c>
      <c r="AQ150" t="s">
        <v>25</v>
      </c>
      <c r="AS150" t="s">
        <v>25</v>
      </c>
    </row>
    <row r="151" spans="5:45">
      <c r="G151" s="205" t="s">
        <v>180</v>
      </c>
      <c r="H151" s="205" t="s">
        <v>5450</v>
      </c>
      <c r="I151" t="s">
        <v>5443</v>
      </c>
      <c r="O151" s="94"/>
      <c r="Q151" s="112"/>
      <c r="R151" s="26"/>
      <c r="S151" s="179"/>
      <c r="T151" s="179"/>
      <c r="U151" t="s">
        <v>25</v>
      </c>
      <c r="V151" s="94" t="s">
        <v>25</v>
      </c>
      <c r="W151" s="94" t="s">
        <v>25</v>
      </c>
      <c r="X151" s="94" t="s">
        <v>25</v>
      </c>
      <c r="Z151" t="s">
        <v>25</v>
      </c>
      <c r="AA151" t="s">
        <v>25</v>
      </c>
      <c r="AB151" s="94" t="s">
        <v>25</v>
      </c>
      <c r="AD151" s="112"/>
      <c r="AI151" s="97">
        <v>131</v>
      </c>
      <c r="AJ151" s="111" t="s">
        <v>4774</v>
      </c>
      <c r="AK151" s="111">
        <v>-3500000</v>
      </c>
      <c r="AL151" s="97">
        <v>6</v>
      </c>
      <c r="AM151" s="20">
        <f t="shared" si="42"/>
        <v>939</v>
      </c>
      <c r="AN151" s="115">
        <f t="shared" si="49"/>
        <v>-3286500000</v>
      </c>
      <c r="AO151" s="20" t="s">
        <v>4776</v>
      </c>
    </row>
    <row r="152" spans="5:45">
      <c r="G152" s="205" t="s">
        <v>5417</v>
      </c>
      <c r="H152" s="1">
        <v>30000000</v>
      </c>
      <c r="I152" s="291" t="s">
        <v>5444</v>
      </c>
      <c r="M152" t="s">
        <v>25</v>
      </c>
      <c r="O152" s="94"/>
      <c r="S152" s="32" t="s">
        <v>4511</v>
      </c>
      <c r="T152" s="32" t="s">
        <v>933</v>
      </c>
      <c r="U152" t="s">
        <v>25</v>
      </c>
      <c r="V152" s="94" t="s">
        <v>25</v>
      </c>
      <c r="W152" s="94" t="s">
        <v>25</v>
      </c>
      <c r="X152" s="94" t="s">
        <v>25</v>
      </c>
      <c r="Y152" s="120" t="s">
        <v>25</v>
      </c>
      <c r="Z152" t="s">
        <v>25</v>
      </c>
      <c r="AA152" t="s">
        <v>25</v>
      </c>
      <c r="AB152" s="94" t="s">
        <v>25</v>
      </c>
      <c r="AD152" s="112"/>
      <c r="AE152" s="112"/>
      <c r="AI152" s="97">
        <v>132</v>
      </c>
      <c r="AJ152" s="111" t="s">
        <v>4786</v>
      </c>
      <c r="AK152" s="111">
        <v>2520000</v>
      </c>
      <c r="AL152" s="97">
        <v>12</v>
      </c>
      <c r="AM152" s="20">
        <f t="shared" si="42"/>
        <v>933</v>
      </c>
      <c r="AN152" s="115">
        <f t="shared" si="49"/>
        <v>2351160000</v>
      </c>
      <c r="AO152" s="20"/>
    </row>
    <row r="153" spans="5:45">
      <c r="G153" s="205" t="s">
        <v>5418</v>
      </c>
      <c r="H153" s="1">
        <v>550000</v>
      </c>
      <c r="I153" t="s">
        <v>5445</v>
      </c>
      <c r="O153" s="94"/>
      <c r="S153" s="32">
        <v>33288</v>
      </c>
      <c r="T153" s="167">
        <v>152128600.70081395</v>
      </c>
      <c r="U153" t="s">
        <v>25</v>
      </c>
      <c r="V153" s="94" t="s">
        <v>25</v>
      </c>
      <c r="W153" s="120" t="s">
        <v>25</v>
      </c>
      <c r="X153" s="94" t="s">
        <v>25</v>
      </c>
      <c r="Y153" t="s">
        <v>25</v>
      </c>
      <c r="Z153" t="s">
        <v>25</v>
      </c>
      <c r="AA153" t="s">
        <v>25</v>
      </c>
      <c r="AB153" t="s">
        <v>25</v>
      </c>
      <c r="AI153" s="97">
        <v>133</v>
      </c>
      <c r="AJ153" s="111" t="s">
        <v>4821</v>
      </c>
      <c r="AK153" s="111">
        <v>1400000</v>
      </c>
      <c r="AL153" s="97">
        <v>4</v>
      </c>
      <c r="AM153" s="20">
        <f t="shared" si="42"/>
        <v>921</v>
      </c>
      <c r="AN153" s="115">
        <f t="shared" si="49"/>
        <v>1289400000</v>
      </c>
      <c r="AO153" s="20"/>
    </row>
    <row r="154" spans="5:45">
      <c r="G154" s="205" t="s">
        <v>5419</v>
      </c>
      <c r="H154" s="1">
        <v>70370000</v>
      </c>
      <c r="I154" t="s">
        <v>4082</v>
      </c>
      <c r="O154" s="94"/>
      <c r="R154" t="s">
        <v>25</v>
      </c>
      <c r="S154" s="32">
        <v>9243</v>
      </c>
      <c r="T154" s="1">
        <f>T153*S154/S153</f>
        <v>42241187.7036056</v>
      </c>
      <c r="U154" s="112" t="s">
        <v>25</v>
      </c>
      <c r="V154" s="94" t="s">
        <v>25</v>
      </c>
      <c r="W154" s="120" t="s">
        <v>25</v>
      </c>
      <c r="X154" s="94" t="s">
        <v>25</v>
      </c>
      <c r="Y154" t="s">
        <v>25</v>
      </c>
      <c r="Z154" t="s">
        <v>25</v>
      </c>
      <c r="AA154" t="s">
        <v>25</v>
      </c>
      <c r="AB154" t="s">
        <v>25</v>
      </c>
      <c r="AI154" s="97">
        <v>134</v>
      </c>
      <c r="AJ154" s="111" t="s">
        <v>4837</v>
      </c>
      <c r="AK154" s="111">
        <v>1550000</v>
      </c>
      <c r="AL154" s="97">
        <v>2</v>
      </c>
      <c r="AM154" s="20">
        <f t="shared" si="42"/>
        <v>917</v>
      </c>
      <c r="AN154" s="115">
        <f t="shared" si="49"/>
        <v>1421350000</v>
      </c>
      <c r="AO154" s="20"/>
    </row>
    <row r="155" spans="5:45">
      <c r="G155" s="205" t="s">
        <v>5420</v>
      </c>
      <c r="H155" s="1">
        <v>1215000</v>
      </c>
      <c r="I155" t="s">
        <v>5446</v>
      </c>
      <c r="O155" s="94"/>
      <c r="P155" s="112"/>
      <c r="S155" s="32">
        <f>S153-S154</f>
        <v>24045</v>
      </c>
      <c r="T155" s="1">
        <f>S155*T153/S153</f>
        <v>109887412.99720834</v>
      </c>
      <c r="U155" t="s">
        <v>25</v>
      </c>
      <c r="V155" s="120" t="s">
        <v>25</v>
      </c>
      <c r="W155" s="94"/>
      <c r="X155" s="120" t="s">
        <v>25</v>
      </c>
      <c r="Y155" t="s">
        <v>25</v>
      </c>
      <c r="Z155">
        <v>1072496175</v>
      </c>
      <c r="AA155">
        <v>365000000</v>
      </c>
      <c r="AB155" t="s">
        <v>25</v>
      </c>
      <c r="AI155" s="97">
        <v>135</v>
      </c>
      <c r="AJ155" s="111" t="s">
        <v>4793</v>
      </c>
      <c r="AK155" s="111">
        <v>250000</v>
      </c>
      <c r="AL155" s="97">
        <v>6</v>
      </c>
      <c r="AM155" s="20">
        <f t="shared" si="42"/>
        <v>915</v>
      </c>
      <c r="AN155" s="115">
        <f t="shared" si="49"/>
        <v>228750000</v>
      </c>
      <c r="AO155" s="20"/>
    </row>
    <row r="156" spans="5:45">
      <c r="G156" s="205" t="s">
        <v>5421</v>
      </c>
      <c r="H156" s="1">
        <v>15350000</v>
      </c>
      <c r="I156" s="291" t="s">
        <v>5447</v>
      </c>
      <c r="Q156" s="112"/>
      <c r="U156" t="s">
        <v>25</v>
      </c>
      <c r="W156" s="94"/>
      <c r="X156"/>
      <c r="Y156" t="s">
        <v>25</v>
      </c>
      <c r="Z156" t="s">
        <v>25</v>
      </c>
      <c r="AA156" t="s">
        <v>25</v>
      </c>
      <c r="AB156" t="s">
        <v>25</v>
      </c>
      <c r="AI156" s="97">
        <v>136</v>
      </c>
      <c r="AJ156" s="111" t="s">
        <v>4846</v>
      </c>
      <c r="AK156" s="111">
        <v>-48527480</v>
      </c>
      <c r="AL156" s="97">
        <v>14</v>
      </c>
      <c r="AM156" s="20">
        <f t="shared" si="42"/>
        <v>909</v>
      </c>
      <c r="AN156" s="115">
        <f t="shared" si="49"/>
        <v>-44111479320</v>
      </c>
      <c r="AO156" s="20" t="s">
        <v>4848</v>
      </c>
    </row>
    <row r="157" spans="5:45">
      <c r="G157" s="205" t="s">
        <v>5422</v>
      </c>
      <c r="H157" s="1">
        <v>70000</v>
      </c>
      <c r="I157" t="s">
        <v>5448</v>
      </c>
      <c r="K157" t="s">
        <v>25</v>
      </c>
      <c r="M157" t="s">
        <v>25</v>
      </c>
      <c r="P157" s="112"/>
      <c r="Q157" s="112"/>
      <c r="R157" s="94" t="s">
        <v>25</v>
      </c>
      <c r="S157" s="94"/>
      <c r="T157" s="94"/>
      <c r="U157" s="94"/>
      <c r="V157" s="294" t="s">
        <v>4405</v>
      </c>
      <c r="W157" s="294" t="s">
        <v>4418</v>
      </c>
      <c r="X157" s="294" t="s">
        <v>4419</v>
      </c>
      <c r="Y157" t="s">
        <v>25</v>
      </c>
      <c r="Z157" t="s">
        <v>25</v>
      </c>
      <c r="AB157" t="s">
        <v>25</v>
      </c>
      <c r="AI157" s="97">
        <v>137</v>
      </c>
      <c r="AJ157" s="111" t="s">
        <v>4868</v>
      </c>
      <c r="AK157" s="111">
        <v>2100000</v>
      </c>
      <c r="AL157" s="97">
        <v>1</v>
      </c>
      <c r="AM157" s="20">
        <f t="shared" si="42"/>
        <v>895</v>
      </c>
      <c r="AN157" s="115">
        <f t="shared" si="49"/>
        <v>1879500000</v>
      </c>
      <c r="AO157" s="20"/>
    </row>
    <row r="158" spans="5:45">
      <c r="G158" s="205" t="s">
        <v>5426</v>
      </c>
      <c r="H158" s="1">
        <v>800000</v>
      </c>
      <c r="I158" t="s">
        <v>5449</v>
      </c>
      <c r="P158" s="94"/>
      <c r="Q158" s="112"/>
      <c r="R158" s="94"/>
      <c r="S158" s="94"/>
      <c r="T158" s="94"/>
      <c r="U158" s="120">
        <f>W159-W164</f>
        <v>2714818</v>
      </c>
      <c r="V158" s="294" t="s">
        <v>743</v>
      </c>
      <c r="W158" s="294">
        <v>1495942</v>
      </c>
      <c r="X158" s="451">
        <f>W158*$U$553</f>
        <v>3755270113.486505</v>
      </c>
      <c r="Y158">
        <f>X158*100/$X$164</f>
        <v>33.85017954188703</v>
      </c>
      <c r="Z158" s="111">
        <f>Y158*0.01*$Z$155</f>
        <v>363041880.81737095</v>
      </c>
      <c r="AA158" s="111">
        <f>Y158*0.01*$AA$155</f>
        <v>123553155.32788767</v>
      </c>
      <c r="AB158" t="s">
        <v>25</v>
      </c>
      <c r="AI158" s="97">
        <v>138</v>
      </c>
      <c r="AJ158" s="111" t="s">
        <v>4871</v>
      </c>
      <c r="AK158" s="111">
        <v>100000</v>
      </c>
      <c r="AL158" s="97">
        <v>4</v>
      </c>
      <c r="AM158" s="20">
        <f>AM159+AL158</f>
        <v>894</v>
      </c>
      <c r="AN158" s="115">
        <f t="shared" si="49"/>
        <v>89400000</v>
      </c>
      <c r="AO158" s="20"/>
    </row>
    <row r="159" spans="5:45">
      <c r="G159" s="205" t="s">
        <v>5438</v>
      </c>
      <c r="H159" s="1">
        <v>1948000</v>
      </c>
      <c r="Q159" s="112"/>
      <c r="R159" t="s">
        <v>25</v>
      </c>
      <c r="U159" s="120"/>
      <c r="V159" s="294" t="s">
        <v>4407</v>
      </c>
      <c r="W159" s="294">
        <v>2714818</v>
      </c>
      <c r="X159" s="451">
        <f>W159*$U$553</f>
        <v>6815020167.1957922</v>
      </c>
      <c r="Y159" s="94">
        <f>X159*100/$X$164</f>
        <v>61.430908901245289</v>
      </c>
      <c r="Z159" s="111">
        <f>Y159*0.01*$Z$155</f>
        <v>658844148.23359025</v>
      </c>
      <c r="AA159" s="111">
        <f>Y159*0.01*$AA$155</f>
        <v>224222817.48954529</v>
      </c>
      <c r="AB159" t="s">
        <v>25</v>
      </c>
      <c r="AI159" s="97">
        <v>139</v>
      </c>
      <c r="AJ159" s="111" t="s">
        <v>4876</v>
      </c>
      <c r="AK159" s="111">
        <v>900000</v>
      </c>
      <c r="AL159" s="97">
        <v>0</v>
      </c>
      <c r="AM159" s="20">
        <f t="shared" ref="AM159:AM168" si="50">AM160+AL159</f>
        <v>890</v>
      </c>
      <c r="AN159" s="115">
        <f t="shared" ref="AN159:AN168" si="51">AK159*AM159</f>
        <v>801000000</v>
      </c>
      <c r="AO159" s="20"/>
      <c r="AQ159" t="s">
        <v>25</v>
      </c>
    </row>
    <row r="160" spans="5:45">
      <c r="G160" s="205" t="s">
        <v>5463</v>
      </c>
      <c r="H160" s="1">
        <v>5745697.3157000002</v>
      </c>
      <c r="Q160" s="112"/>
      <c r="R160" t="s">
        <v>25</v>
      </c>
      <c r="T160" t="s">
        <v>25</v>
      </c>
      <c r="U160" s="94">
        <f>W158+2857</f>
        <v>1498799</v>
      </c>
      <c r="V160" s="294" t="s">
        <v>4406</v>
      </c>
      <c r="W160" s="294">
        <v>46230</v>
      </c>
      <c r="X160" s="451">
        <f>W160*$U$553</f>
        <v>116051382.57130367</v>
      </c>
      <c r="Y160" s="94">
        <f>X160*100/$X$164</f>
        <v>1.0460925625602047</v>
      </c>
      <c r="Z160" s="111">
        <f>Y160*0.01*$Z$155</f>
        <v>11219302.720417678</v>
      </c>
      <c r="AA160" s="111">
        <f>Y160*0.01*$AA$155</f>
        <v>3818237.8533447473</v>
      </c>
      <c r="AB160" t="s">
        <v>25</v>
      </c>
      <c r="AI160" s="97">
        <v>140</v>
      </c>
      <c r="AJ160" s="111" t="s">
        <v>4876</v>
      </c>
      <c r="AK160" s="111">
        <v>1100000</v>
      </c>
      <c r="AL160" s="97">
        <v>0</v>
      </c>
      <c r="AM160" s="20">
        <f t="shared" si="50"/>
        <v>890</v>
      </c>
      <c r="AN160" s="115">
        <f t="shared" si="51"/>
        <v>979000000</v>
      </c>
      <c r="AO160" s="20" t="s">
        <v>4890</v>
      </c>
      <c r="AR160" t="s">
        <v>25</v>
      </c>
    </row>
    <row r="161" spans="7:44">
      <c r="G161" s="205" t="s">
        <v>5464</v>
      </c>
      <c r="H161" s="1">
        <v>908158.17935999995</v>
      </c>
      <c r="Q161" s="112"/>
      <c r="R161" t="s">
        <v>25</v>
      </c>
      <c r="U161" s="94"/>
      <c r="V161" s="294" t="s">
        <v>1069</v>
      </c>
      <c r="W161" s="294">
        <v>162313</v>
      </c>
      <c r="X161" s="451">
        <f>W161*$U$553</f>
        <v>407455073.74639869</v>
      </c>
      <c r="Y161" s="94">
        <f>X161*100/$X$164</f>
        <v>3.6728189943074732</v>
      </c>
      <c r="Z161" s="111">
        <f>Y161*0.01*$Z$155</f>
        <v>39390843.228621118</v>
      </c>
      <c r="AA161" s="111">
        <f>Y161*0.01*$AA$155</f>
        <v>13405789.329222277</v>
      </c>
      <c r="AI161" s="97">
        <v>141</v>
      </c>
      <c r="AJ161" s="111" t="s">
        <v>4876</v>
      </c>
      <c r="AK161" s="111">
        <v>115000</v>
      </c>
      <c r="AL161" s="97"/>
      <c r="AM161" s="20">
        <f t="shared" si="50"/>
        <v>890</v>
      </c>
      <c r="AN161" s="115">
        <f t="shared" si="51"/>
        <v>102350000</v>
      </c>
      <c r="AO161" s="20"/>
      <c r="AR161" t="s">
        <v>25</v>
      </c>
    </row>
    <row r="162" spans="7:44">
      <c r="G162" s="205" t="s">
        <v>5465</v>
      </c>
      <c r="H162" s="1">
        <v>12642697.648548001</v>
      </c>
      <c r="O162" s="94" t="s">
        <v>25</v>
      </c>
      <c r="P162" s="112"/>
      <c r="Q162" s="112"/>
      <c r="U162" s="94">
        <f>W161+2977</f>
        <v>165290</v>
      </c>
      <c r="V162" s="294"/>
      <c r="W162" s="294"/>
      <c r="X162" s="294"/>
      <c r="Y162" s="113"/>
      <c r="Z162" t="s">
        <v>25</v>
      </c>
      <c r="AB162" t="s">
        <v>25</v>
      </c>
      <c r="AI162" s="97">
        <v>142</v>
      </c>
      <c r="AJ162" s="111" t="s">
        <v>4884</v>
      </c>
      <c r="AK162" s="111">
        <v>-1100000</v>
      </c>
      <c r="AL162" s="97"/>
      <c r="AM162" s="20">
        <f t="shared" si="50"/>
        <v>890</v>
      </c>
      <c r="AN162" s="115">
        <f t="shared" si="51"/>
        <v>-979000000</v>
      </c>
      <c r="AO162" s="20" t="s">
        <v>4891</v>
      </c>
      <c r="AR162" t="s">
        <v>25</v>
      </c>
    </row>
    <row r="163" spans="7:44">
      <c r="G163" s="205" t="s">
        <v>5466</v>
      </c>
      <c r="H163" s="1">
        <v>12297318</v>
      </c>
      <c r="I163" t="s">
        <v>25</v>
      </c>
      <c r="O163" s="94"/>
      <c r="P163" s="112"/>
      <c r="Q163" s="112"/>
      <c r="R163" t="s">
        <v>25</v>
      </c>
      <c r="T163" t="s">
        <v>25</v>
      </c>
      <c r="U163" s="94"/>
      <c r="V163" s="294"/>
      <c r="W163" s="294">
        <f>SUM(W158:W161)</f>
        <v>4419303</v>
      </c>
      <c r="X163" s="294"/>
      <c r="Y163" s="112" t="s">
        <v>25</v>
      </c>
      <c r="Z163" t="s">
        <v>25</v>
      </c>
      <c r="AA163" t="s">
        <v>25</v>
      </c>
      <c r="AI163" s="97">
        <v>143</v>
      </c>
      <c r="AJ163" s="111" t="s">
        <v>4884</v>
      </c>
      <c r="AK163" s="111">
        <v>900000</v>
      </c>
      <c r="AL163" s="97">
        <v>1</v>
      </c>
      <c r="AM163" s="20">
        <f t="shared" si="50"/>
        <v>890</v>
      </c>
      <c r="AN163" s="115">
        <f t="shared" si="51"/>
        <v>801000000</v>
      </c>
      <c r="AO163" s="20" t="s">
        <v>4890</v>
      </c>
    </row>
    <row r="164" spans="7:44">
      <c r="G164" s="205" t="s">
        <v>5467</v>
      </c>
      <c r="H164" s="1">
        <v>8959644</v>
      </c>
      <c r="O164" s="94"/>
      <c r="P164" s="112"/>
      <c r="Q164" s="112"/>
      <c r="R164" s="94" t="s">
        <v>25</v>
      </c>
      <c r="S164" s="94"/>
      <c r="T164" s="94" t="s">
        <v>25</v>
      </c>
      <c r="U164" s="94">
        <f>W160-2429</f>
        <v>43801</v>
      </c>
      <c r="V164" s="294"/>
      <c r="W164" s="294">
        <f>W163-V550</f>
        <v>0</v>
      </c>
      <c r="X164" s="451">
        <f>SUM(X158:X161)</f>
        <v>11093796737</v>
      </c>
      <c r="Y164" s="94"/>
      <c r="Z164" t="s">
        <v>25</v>
      </c>
      <c r="AA164" t="s">
        <v>25</v>
      </c>
      <c r="AI164" s="97">
        <v>144</v>
      </c>
      <c r="AJ164" s="111" t="s">
        <v>4888</v>
      </c>
      <c r="AK164" s="111">
        <v>2000000</v>
      </c>
      <c r="AL164" s="97">
        <v>0</v>
      </c>
      <c r="AM164" s="20">
        <f t="shared" si="50"/>
        <v>889</v>
      </c>
      <c r="AN164" s="115">
        <f t="shared" si="51"/>
        <v>1778000000</v>
      </c>
      <c r="AO164" s="20"/>
    </row>
    <row r="165" spans="7:44">
      <c r="G165" s="205" t="s">
        <v>5468</v>
      </c>
      <c r="H165" s="111">
        <v>15154095.839328</v>
      </c>
      <c r="O165" s="94"/>
      <c r="P165" s="112"/>
      <c r="Q165" s="112"/>
      <c r="R165" s="94"/>
      <c r="S165" s="94"/>
      <c r="T165" s="94"/>
      <c r="U165" s="94" t="s">
        <v>25</v>
      </c>
      <c r="V165" s="294"/>
      <c r="W165" s="294" t="s">
        <v>5806</v>
      </c>
      <c r="X165" s="451">
        <f>S176-X161</f>
        <v>18321309.253601313</v>
      </c>
      <c r="Y165" s="94"/>
      <c r="Z165" t="s">
        <v>25</v>
      </c>
      <c r="AA165" t="s">
        <v>25</v>
      </c>
      <c r="AI165" s="97">
        <v>145</v>
      </c>
      <c r="AJ165" s="111" t="s">
        <v>4888</v>
      </c>
      <c r="AK165" s="111">
        <v>360000</v>
      </c>
      <c r="AL165" s="97">
        <v>1</v>
      </c>
      <c r="AM165" s="20">
        <f t="shared" si="50"/>
        <v>889</v>
      </c>
      <c r="AN165" s="115">
        <f t="shared" si="51"/>
        <v>320040000</v>
      </c>
      <c r="AO165" s="20"/>
    </row>
    <row r="166" spans="7:44">
      <c r="G166" s="205" t="s">
        <v>5473</v>
      </c>
      <c r="H166" s="111">
        <v>4108143</v>
      </c>
      <c r="O166" s="94"/>
      <c r="P166" s="112"/>
      <c r="Q166" s="112"/>
      <c r="R166" s="94" t="s">
        <v>25</v>
      </c>
      <c r="S166" s="94"/>
      <c r="T166" s="94"/>
      <c r="U166" s="94" t="s">
        <v>25</v>
      </c>
      <c r="V166" s="294"/>
      <c r="W166" s="294" t="s">
        <v>5805</v>
      </c>
      <c r="X166" s="451">
        <f>X160-X165</f>
        <v>97730073.317702353</v>
      </c>
      <c r="Y166" s="94"/>
      <c r="AA166" t="s">
        <v>25</v>
      </c>
      <c r="AB166" t="s">
        <v>25</v>
      </c>
      <c r="AI166" s="97">
        <v>146</v>
      </c>
      <c r="AJ166" s="111" t="s">
        <v>4889</v>
      </c>
      <c r="AK166" s="111">
        <v>3000000</v>
      </c>
      <c r="AL166" s="97">
        <v>1</v>
      </c>
      <c r="AM166" s="20">
        <f t="shared" si="50"/>
        <v>888</v>
      </c>
      <c r="AN166" s="115">
        <f t="shared" si="51"/>
        <v>2664000000</v>
      </c>
      <c r="AO166" s="20"/>
    </row>
    <row r="167" spans="7:44">
      <c r="G167" s="205" t="s">
        <v>5475</v>
      </c>
      <c r="H167" s="111">
        <v>6000000</v>
      </c>
      <c r="O167" s="94"/>
      <c r="P167" s="112"/>
      <c r="Q167" s="112"/>
      <c r="R167" s="94" t="s">
        <v>25</v>
      </c>
      <c r="S167" s="94"/>
      <c r="T167" s="94" t="s">
        <v>25</v>
      </c>
      <c r="U167" s="94"/>
      <c r="V167" s="294"/>
      <c r="W167" s="294" t="s">
        <v>4912</v>
      </c>
      <c r="X167" s="451">
        <f>X158+X166-S175</f>
        <v>402908590.80420732</v>
      </c>
      <c r="Y167" s="94"/>
      <c r="Z167" t="s">
        <v>25</v>
      </c>
      <c r="AI167" s="97">
        <v>147</v>
      </c>
      <c r="AJ167" s="111" t="s">
        <v>4887</v>
      </c>
      <c r="AK167" s="111">
        <v>-658226</v>
      </c>
      <c r="AL167" s="97">
        <v>1</v>
      </c>
      <c r="AM167" s="20">
        <f t="shared" si="50"/>
        <v>887</v>
      </c>
      <c r="AN167" s="115">
        <f t="shared" si="51"/>
        <v>-583846462</v>
      </c>
      <c r="AO167" s="20"/>
    </row>
    <row r="168" spans="7:44">
      <c r="G168" s="205" t="s">
        <v>5479</v>
      </c>
      <c r="H168" s="111">
        <v>8301786</v>
      </c>
      <c r="I168" t="s">
        <v>25</v>
      </c>
      <c r="O168" s="94"/>
      <c r="P168" s="112"/>
      <c r="Q168" s="112"/>
      <c r="R168" s="94"/>
      <c r="S168" s="94"/>
      <c r="T168" s="94"/>
      <c r="U168" s="94"/>
      <c r="V168" s="294"/>
      <c r="W168" s="294"/>
      <c r="X168" s="451"/>
      <c r="Y168" s="113"/>
      <c r="Z168" t="s">
        <v>25</v>
      </c>
      <c r="AI168" s="97">
        <v>148</v>
      </c>
      <c r="AJ168" s="111" t="s">
        <v>4892</v>
      </c>
      <c r="AK168" s="111">
        <v>1000000</v>
      </c>
      <c r="AL168" s="97">
        <v>15</v>
      </c>
      <c r="AM168" s="20">
        <f t="shared" si="50"/>
        <v>886</v>
      </c>
      <c r="AN168" s="115">
        <f t="shared" si="51"/>
        <v>886000000</v>
      </c>
      <c r="AO168" s="20"/>
      <c r="AQ168" t="s">
        <v>25</v>
      </c>
    </row>
    <row r="169" spans="7:44">
      <c r="G169" s="205" t="s">
        <v>5483</v>
      </c>
      <c r="H169" s="111">
        <v>50725508.571864001</v>
      </c>
      <c r="P169" s="112"/>
      <c r="Q169" s="112"/>
      <c r="R169" s="94"/>
      <c r="S169" s="94"/>
      <c r="T169" s="94"/>
      <c r="U169" s="94"/>
      <c r="W169" s="94"/>
      <c r="Z169" t="s">
        <v>25</v>
      </c>
      <c r="AI169" s="97">
        <v>149</v>
      </c>
      <c r="AJ169" s="111" t="s">
        <v>4917</v>
      </c>
      <c r="AK169" s="111">
        <v>1130250</v>
      </c>
      <c r="AL169" s="97">
        <v>5</v>
      </c>
      <c r="AM169" s="20">
        <f t="shared" si="42"/>
        <v>871</v>
      </c>
      <c r="AN169" s="115">
        <f t="shared" si="49"/>
        <v>984447750</v>
      </c>
      <c r="AO169" s="20"/>
    </row>
    <row r="170" spans="7:44">
      <c r="G170" s="205" t="s">
        <v>5484</v>
      </c>
      <c r="H170" s="111">
        <v>2281961.458596</v>
      </c>
      <c r="P170" s="112"/>
      <c r="Q170" s="112"/>
      <c r="R170" s="94"/>
      <c r="S170" s="94"/>
      <c r="T170" s="94"/>
      <c r="U170" s="94" t="s">
        <v>25</v>
      </c>
      <c r="W170" s="94"/>
      <c r="AF170" s="94" t="s">
        <v>25</v>
      </c>
      <c r="AI170" s="97">
        <v>150</v>
      </c>
      <c r="AJ170" s="111" t="s">
        <v>4925</v>
      </c>
      <c r="AK170" s="111">
        <v>206000</v>
      </c>
      <c r="AL170" s="97">
        <v>2</v>
      </c>
      <c r="AM170" s="20">
        <f t="shared" si="42"/>
        <v>866</v>
      </c>
      <c r="AN170" s="115">
        <f t="shared" si="49"/>
        <v>178396000</v>
      </c>
      <c r="AO170" s="20"/>
    </row>
    <row r="171" spans="7:44">
      <c r="G171" s="205" t="s">
        <v>5491</v>
      </c>
      <c r="H171" s="111">
        <v>10998285</v>
      </c>
      <c r="O171" s="112"/>
      <c r="P171" s="112"/>
      <c r="Q171" s="112"/>
      <c r="T171" s="94" t="s">
        <v>25</v>
      </c>
      <c r="U171" s="94"/>
      <c r="W171" s="94"/>
      <c r="AI171" s="97">
        <v>151</v>
      </c>
      <c r="AJ171" s="111" t="s">
        <v>4932</v>
      </c>
      <c r="AK171" s="111">
        <v>50000</v>
      </c>
      <c r="AL171" s="97">
        <v>2</v>
      </c>
      <c r="AM171" s="20">
        <f t="shared" si="42"/>
        <v>864</v>
      </c>
      <c r="AN171" s="115">
        <f t="shared" si="49"/>
        <v>43200000</v>
      </c>
      <c r="AO171" s="20"/>
    </row>
    <row r="172" spans="7:44">
      <c r="G172" s="205" t="s">
        <v>5492</v>
      </c>
      <c r="H172" s="111">
        <v>983018.96187300002</v>
      </c>
      <c r="O172" s="112"/>
      <c r="P172" s="112"/>
      <c r="Q172" s="112"/>
      <c r="R172" s="94"/>
      <c r="S172" s="94"/>
      <c r="T172" s="94"/>
      <c r="U172" s="97" t="s">
        <v>180</v>
      </c>
      <c r="V172" s="97" t="s">
        <v>4431</v>
      </c>
      <c r="W172" s="97" t="s">
        <v>4432</v>
      </c>
      <c r="X172" s="97" t="s">
        <v>4442</v>
      </c>
      <c r="Y172" s="97" t="s">
        <v>8</v>
      </c>
      <c r="Z172" t="s">
        <v>25</v>
      </c>
      <c r="AI172" s="97">
        <v>152</v>
      </c>
      <c r="AJ172" s="111" t="s">
        <v>4936</v>
      </c>
      <c r="AK172" s="111">
        <v>105000</v>
      </c>
      <c r="AL172" s="97">
        <v>4</v>
      </c>
      <c r="AM172" s="20">
        <f t="shared" si="42"/>
        <v>862</v>
      </c>
      <c r="AN172" s="115">
        <f t="shared" si="49"/>
        <v>90510000</v>
      </c>
      <c r="AO172" s="20"/>
    </row>
    <row r="173" spans="7:44">
      <c r="G173" s="205" t="s">
        <v>5494</v>
      </c>
      <c r="H173" s="111">
        <v>17049271.032000002</v>
      </c>
      <c r="I173" s="94"/>
      <c r="O173" s="112"/>
      <c r="P173" s="112"/>
      <c r="Q173" s="112"/>
      <c r="R173" s="94"/>
      <c r="S173" s="94"/>
      <c r="T173" s="94"/>
      <c r="U173" s="111" t="s">
        <v>4417</v>
      </c>
      <c r="V173" s="54">
        <v>1000000</v>
      </c>
      <c r="W173" s="111">
        <v>239.024</v>
      </c>
      <c r="X173" s="111">
        <f t="shared" ref="X173:X274" si="52">V173*W173</f>
        <v>239024000</v>
      </c>
      <c r="Y173" s="97"/>
      <c r="AI173" s="97">
        <v>153</v>
      </c>
      <c r="AJ173" s="111" t="s">
        <v>4940</v>
      </c>
      <c r="AK173" s="111">
        <v>5000000</v>
      </c>
      <c r="AL173" s="97">
        <v>1</v>
      </c>
      <c r="AM173" s="20">
        <f t="shared" si="42"/>
        <v>858</v>
      </c>
      <c r="AN173" s="115">
        <f t="shared" si="49"/>
        <v>4290000000</v>
      </c>
      <c r="AO173" s="20"/>
    </row>
    <row r="174" spans="7:44">
      <c r="G174" s="205" t="s">
        <v>5497</v>
      </c>
      <c r="H174" s="111">
        <v>6829998</v>
      </c>
      <c r="I174" s="94"/>
      <c r="P174" s="112"/>
      <c r="Q174" s="112"/>
      <c r="R174" s="36" t="s">
        <v>4510</v>
      </c>
      <c r="S174" s="93">
        <f>SUM(N48:N57)</f>
        <v>6156142986</v>
      </c>
      <c r="U174" s="166" t="s">
        <v>4399</v>
      </c>
      <c r="V174" s="54">
        <v>5904</v>
      </c>
      <c r="W174" s="111">
        <v>237.148</v>
      </c>
      <c r="X174" s="111">
        <f t="shared" si="52"/>
        <v>1400121.7919999999</v>
      </c>
      <c r="Y174" s="97" t="s">
        <v>743</v>
      </c>
      <c r="AA174" t="s">
        <v>25</v>
      </c>
      <c r="AI174" s="97">
        <v>154</v>
      </c>
      <c r="AJ174" s="111" t="s">
        <v>4941</v>
      </c>
      <c r="AK174" s="111">
        <v>2500000</v>
      </c>
      <c r="AL174" s="97">
        <v>2</v>
      </c>
      <c r="AM174" s="20">
        <f t="shared" si="42"/>
        <v>857</v>
      </c>
      <c r="AN174" s="115">
        <f t="shared" si="49"/>
        <v>2142500000</v>
      </c>
      <c r="AO174" s="20"/>
    </row>
    <row r="175" spans="7:44">
      <c r="G175" s="205" t="s">
        <v>4209</v>
      </c>
      <c r="H175" s="111">
        <v>6982608.8207999999</v>
      </c>
      <c r="I175" s="94"/>
      <c r="O175" s="112"/>
      <c r="P175" s="112"/>
      <c r="Q175" s="112"/>
      <c r="R175" s="97" t="s">
        <v>4408</v>
      </c>
      <c r="S175" s="93">
        <f>SUM(N27:N32)</f>
        <v>3450091596</v>
      </c>
      <c r="U175" s="166" t="s">
        <v>4205</v>
      </c>
      <c r="V175" s="166">
        <v>1000</v>
      </c>
      <c r="W175" s="111">
        <v>247.393</v>
      </c>
      <c r="X175" s="111">
        <f t="shared" si="52"/>
        <v>247393</v>
      </c>
      <c r="Y175" s="97" t="s">
        <v>743</v>
      </c>
      <c r="Z175" t="s">
        <v>25</v>
      </c>
      <c r="AI175" s="247">
        <v>155</v>
      </c>
      <c r="AJ175" s="243" t="s">
        <v>4947</v>
      </c>
      <c r="AK175" s="243">
        <v>-50000000</v>
      </c>
      <c r="AL175" s="247">
        <v>7</v>
      </c>
      <c r="AM175" s="247">
        <f t="shared" si="42"/>
        <v>855</v>
      </c>
      <c r="AN175" s="243">
        <f t="shared" si="49"/>
        <v>-42750000000</v>
      </c>
      <c r="AO175" s="247" t="s">
        <v>4955</v>
      </c>
    </row>
    <row r="176" spans="7:44">
      <c r="G176" s="205" t="s">
        <v>5517</v>
      </c>
      <c r="H176" s="111">
        <v>7510131.0216000006</v>
      </c>
      <c r="I176" s="94"/>
      <c r="O176" s="112"/>
      <c r="P176" s="112"/>
      <c r="Q176" s="112"/>
      <c r="R176" s="97" t="s">
        <v>4409</v>
      </c>
      <c r="S176" s="93">
        <f>SUM(N35:N36)</f>
        <v>425776383</v>
      </c>
      <c r="U176" s="342" t="s">
        <v>4443</v>
      </c>
      <c r="V176" s="342">
        <v>8071</v>
      </c>
      <c r="W176" s="90">
        <v>247.797</v>
      </c>
      <c r="X176" s="90">
        <f t="shared" si="52"/>
        <v>1999969.5870000001</v>
      </c>
      <c r="Y176" s="89" t="s">
        <v>4406</v>
      </c>
      <c r="Z176" t="s">
        <v>25</v>
      </c>
      <c r="AI176" s="97">
        <v>156</v>
      </c>
      <c r="AJ176" s="111" t="s">
        <v>4953</v>
      </c>
      <c r="AK176" s="111">
        <v>10000000</v>
      </c>
      <c r="AL176" s="97">
        <v>12</v>
      </c>
      <c r="AM176" s="20">
        <f t="shared" si="42"/>
        <v>848</v>
      </c>
      <c r="AN176" s="115">
        <f t="shared" si="49"/>
        <v>8480000000</v>
      </c>
      <c r="AO176" s="20" t="s">
        <v>4669</v>
      </c>
    </row>
    <row r="177" spans="5:44">
      <c r="G177" s="205" t="s">
        <v>5523</v>
      </c>
      <c r="H177" s="111">
        <v>10397191</v>
      </c>
      <c r="J177" t="s">
        <v>25</v>
      </c>
      <c r="P177" s="112"/>
      <c r="Q177" s="112"/>
      <c r="R177" s="97" t="s">
        <v>4410</v>
      </c>
      <c r="S177" s="93">
        <f>N47</f>
        <v>147</v>
      </c>
      <c r="U177" s="166" t="s">
        <v>4443</v>
      </c>
      <c r="V177" s="166">
        <v>53672</v>
      </c>
      <c r="W177" s="111">
        <v>247.797</v>
      </c>
      <c r="X177" s="111">
        <f t="shared" si="52"/>
        <v>13299760.584000001</v>
      </c>
      <c r="Y177" s="97" t="s">
        <v>452</v>
      </c>
      <c r="Z177" t="s">
        <v>25</v>
      </c>
      <c r="AI177" s="97">
        <v>157</v>
      </c>
      <c r="AJ177" s="111" t="s">
        <v>4960</v>
      </c>
      <c r="AK177" s="111">
        <v>-16266000</v>
      </c>
      <c r="AL177" s="97">
        <v>1</v>
      </c>
      <c r="AM177" s="20">
        <f t="shared" si="42"/>
        <v>836</v>
      </c>
      <c r="AN177" s="115">
        <f t="shared" si="49"/>
        <v>-13598376000</v>
      </c>
      <c r="AO177" s="20" t="s">
        <v>4968</v>
      </c>
      <c r="AR177" t="s">
        <v>25</v>
      </c>
    </row>
    <row r="178" spans="5:44">
      <c r="G178" s="205" t="s">
        <v>5532</v>
      </c>
      <c r="H178" s="111">
        <v>195059.35799999998</v>
      </c>
      <c r="J178" t="s">
        <v>25</v>
      </c>
      <c r="Q178" s="112"/>
      <c r="R178" s="97" t="s">
        <v>4411</v>
      </c>
      <c r="S178" s="93">
        <f>N26</f>
        <v>275</v>
      </c>
      <c r="U178" s="342" t="s">
        <v>4451</v>
      </c>
      <c r="V178" s="342">
        <v>4099</v>
      </c>
      <c r="W178" s="90">
        <v>243.93</v>
      </c>
      <c r="X178" s="90">
        <f t="shared" si="52"/>
        <v>999869.07000000007</v>
      </c>
      <c r="Y178" s="89" t="s">
        <v>4406</v>
      </c>
      <c r="AB178" t="s">
        <v>25</v>
      </c>
      <c r="AI178" s="97">
        <v>158</v>
      </c>
      <c r="AJ178" s="111" t="s">
        <v>4969</v>
      </c>
      <c r="AK178" s="111">
        <v>1000000</v>
      </c>
      <c r="AL178" s="97">
        <v>6</v>
      </c>
      <c r="AM178" s="20">
        <f>AM179+AL178</f>
        <v>835</v>
      </c>
      <c r="AN178" s="115">
        <f>AK178*AM178</f>
        <v>835000000</v>
      </c>
      <c r="AO178" s="20"/>
    </row>
    <row r="179" spans="5:44">
      <c r="G179" s="205" t="s">
        <v>5537</v>
      </c>
      <c r="H179" s="111">
        <v>744082</v>
      </c>
      <c r="P179" s="112"/>
      <c r="Q179" s="112"/>
      <c r="R179" s="97" t="s">
        <v>4412</v>
      </c>
      <c r="S179" s="93">
        <f>N34</f>
        <v>169</v>
      </c>
      <c r="U179" s="166" t="s">
        <v>4451</v>
      </c>
      <c r="V179" s="166">
        <v>9301</v>
      </c>
      <c r="W179" s="111">
        <v>243.93</v>
      </c>
      <c r="X179" s="111">
        <f t="shared" si="52"/>
        <v>2268792.9300000002</v>
      </c>
      <c r="Y179" s="97" t="s">
        <v>452</v>
      </c>
      <c r="AA179" t="s">
        <v>25</v>
      </c>
      <c r="AI179" s="97">
        <v>159</v>
      </c>
      <c r="AJ179" s="111" t="s">
        <v>4977</v>
      </c>
      <c r="AK179" s="111">
        <v>40000</v>
      </c>
      <c r="AL179" s="97">
        <v>5</v>
      </c>
      <c r="AM179" s="20">
        <f>AM180+AL179</f>
        <v>829</v>
      </c>
      <c r="AN179" s="115">
        <f>AK179*AM179</f>
        <v>33160000</v>
      </c>
      <c r="AO179" s="20"/>
    </row>
    <row r="180" spans="5:44">
      <c r="G180" s="205" t="s">
        <v>5539</v>
      </c>
      <c r="H180" s="111">
        <v>920308.446</v>
      </c>
      <c r="K180" t="s">
        <v>25</v>
      </c>
      <c r="P180" s="112"/>
      <c r="Q180" s="112"/>
      <c r="R180" s="97"/>
      <c r="S180" s="93"/>
      <c r="T180" t="s">
        <v>25</v>
      </c>
      <c r="U180" s="342" t="s">
        <v>4455</v>
      </c>
      <c r="V180" s="342">
        <v>8334</v>
      </c>
      <c r="W180" s="90">
        <v>239.97</v>
      </c>
      <c r="X180" s="90">
        <f t="shared" si="52"/>
        <v>1999909.98</v>
      </c>
      <c r="Y180" s="89" t="s">
        <v>4406</v>
      </c>
      <c r="AI180" s="97">
        <v>160</v>
      </c>
      <c r="AJ180" s="111" t="s">
        <v>4985</v>
      </c>
      <c r="AK180" s="111">
        <v>120000</v>
      </c>
      <c r="AL180" s="97">
        <v>6</v>
      </c>
      <c r="AM180" s="20">
        <f>AM181+AL180</f>
        <v>824</v>
      </c>
      <c r="AN180" s="115">
        <f>AK180*AM180</f>
        <v>98880000</v>
      </c>
      <c r="AO180" s="20"/>
    </row>
    <row r="181" spans="5:44">
      <c r="G181" s="205" t="s">
        <v>5540</v>
      </c>
      <c r="H181" s="111">
        <v>4635809.8416840006</v>
      </c>
      <c r="J181" t="s">
        <v>25</v>
      </c>
      <c r="P181" s="112"/>
      <c r="Q181" s="112"/>
      <c r="R181" s="97" t="s">
        <v>5043</v>
      </c>
      <c r="S181" s="93">
        <v>0</v>
      </c>
      <c r="U181" s="166" t="s">
        <v>4204</v>
      </c>
      <c r="V181" s="166">
        <v>29041</v>
      </c>
      <c r="W181" s="111">
        <v>233.45</v>
      </c>
      <c r="X181" s="111">
        <f t="shared" si="52"/>
        <v>6779621.4499999993</v>
      </c>
      <c r="Y181" s="97" t="s">
        <v>743</v>
      </c>
      <c r="Z181" s="120" t="s">
        <v>25</v>
      </c>
      <c r="AI181" s="97">
        <v>161</v>
      </c>
      <c r="AJ181" s="111" t="s">
        <v>4982</v>
      </c>
      <c r="AK181" s="111">
        <v>249000</v>
      </c>
      <c r="AL181" s="97">
        <v>9</v>
      </c>
      <c r="AM181" s="20">
        <f>AM182+AL181</f>
        <v>818</v>
      </c>
      <c r="AN181" s="115">
        <f>AK181*AM181</f>
        <v>203682000</v>
      </c>
      <c r="AO181" s="20"/>
    </row>
    <row r="182" spans="5:44">
      <c r="E182" t="s">
        <v>25</v>
      </c>
      <c r="G182" s="205" t="s">
        <v>5569</v>
      </c>
      <c r="H182" s="111">
        <v>58508002.009000003</v>
      </c>
      <c r="J182" t="s">
        <v>25</v>
      </c>
      <c r="P182" s="112"/>
      <c r="Q182" s="112"/>
      <c r="R182" s="97" t="s">
        <v>6865</v>
      </c>
      <c r="S182" s="93">
        <v>-2017</v>
      </c>
      <c r="T182" s="94"/>
      <c r="U182" s="342" t="s">
        <v>977</v>
      </c>
      <c r="V182" s="342">
        <v>12337</v>
      </c>
      <c r="W182" s="90">
        <v>243.16300000000001</v>
      </c>
      <c r="X182" s="90">
        <f t="shared" si="52"/>
        <v>2999901.9310000003</v>
      </c>
      <c r="Y182" s="89" t="s">
        <v>4406</v>
      </c>
      <c r="AI182" s="97">
        <v>162</v>
      </c>
      <c r="AJ182" s="111" t="s">
        <v>5007</v>
      </c>
      <c r="AK182" s="111">
        <v>65000</v>
      </c>
      <c r="AL182" s="97">
        <v>7</v>
      </c>
      <c r="AM182" s="20">
        <f>AM183+AL182</f>
        <v>809</v>
      </c>
      <c r="AN182" s="115">
        <f>AK182*AM182</f>
        <v>52585000</v>
      </c>
      <c r="AO182" s="20"/>
    </row>
    <row r="183" spans="5:44">
      <c r="G183" s="205" t="s">
        <v>5571</v>
      </c>
      <c r="H183" s="111">
        <v>2245515.5410799999</v>
      </c>
      <c r="P183" s="112"/>
      <c r="Q183" s="112"/>
      <c r="R183" s="97" t="s">
        <v>6883</v>
      </c>
      <c r="S183" s="93">
        <f>-(8479*P48)</f>
        <v>-10708977</v>
      </c>
      <c r="T183" s="94"/>
      <c r="U183" s="166" t="s">
        <v>4528</v>
      </c>
      <c r="V183" s="166">
        <v>-16118</v>
      </c>
      <c r="W183" s="111">
        <v>248.17</v>
      </c>
      <c r="X183" s="111">
        <f t="shared" si="52"/>
        <v>-4000004.0599999996</v>
      </c>
      <c r="Y183" s="97" t="s">
        <v>743</v>
      </c>
      <c r="Z183" t="s">
        <v>25</v>
      </c>
      <c r="AI183" s="97">
        <v>163</v>
      </c>
      <c r="AJ183" s="111" t="s">
        <v>5016</v>
      </c>
      <c r="AK183" s="111">
        <v>-312598</v>
      </c>
      <c r="AL183" s="97">
        <v>0</v>
      </c>
      <c r="AM183" s="20">
        <f t="shared" ref="AM183:AM190" si="53">AM184+AL183</f>
        <v>802</v>
      </c>
      <c r="AN183" s="115">
        <f t="shared" ref="AN183:AN190" si="54">AK183*AM183</f>
        <v>-250703596</v>
      </c>
      <c r="AO183" s="20"/>
      <c r="AP183" t="s">
        <v>25</v>
      </c>
      <c r="AR183" t="s">
        <v>25</v>
      </c>
    </row>
    <row r="184" spans="5:44">
      <c r="G184" s="205" t="s">
        <v>5573</v>
      </c>
      <c r="H184" s="111">
        <v>18404699.3442</v>
      </c>
      <c r="P184" s="112"/>
      <c r="Q184" s="112"/>
      <c r="R184" s="97" t="s">
        <v>6949</v>
      </c>
      <c r="S184" s="93">
        <v>450269000</v>
      </c>
      <c r="T184" s="456"/>
      <c r="U184" s="166" t="s">
        <v>4549</v>
      </c>
      <c r="V184" s="166">
        <v>101681</v>
      </c>
      <c r="W184" s="111">
        <v>246.5711</v>
      </c>
      <c r="X184" s="111">
        <f t="shared" si="52"/>
        <v>25071596.019099999</v>
      </c>
      <c r="Y184" s="97" t="s">
        <v>452</v>
      </c>
      <c r="AC184" t="s">
        <v>25</v>
      </c>
      <c r="AI184" s="97">
        <v>164</v>
      </c>
      <c r="AJ184" s="111" t="s">
        <v>5016</v>
      </c>
      <c r="AK184" s="111">
        <v>50000</v>
      </c>
      <c r="AL184" s="97">
        <v>6</v>
      </c>
      <c r="AM184" s="20">
        <f t="shared" si="53"/>
        <v>802</v>
      </c>
      <c r="AN184" s="115">
        <f t="shared" si="54"/>
        <v>40100000</v>
      </c>
      <c r="AO184" s="20"/>
    </row>
    <row r="185" spans="5:44">
      <c r="G185" s="205" t="s">
        <v>5576</v>
      </c>
      <c r="H185" s="111">
        <v>2264658.5922190002</v>
      </c>
      <c r="J185" t="s">
        <v>25</v>
      </c>
      <c r="P185" s="112"/>
      <c r="Q185" s="112"/>
      <c r="R185" s="97" t="s">
        <v>6950</v>
      </c>
      <c r="S185" s="93">
        <v>59825175</v>
      </c>
      <c r="T185" s="456"/>
      <c r="U185" s="166" t="s">
        <v>4553</v>
      </c>
      <c r="V185" s="166">
        <v>66606</v>
      </c>
      <c r="W185" s="111">
        <v>251.131</v>
      </c>
      <c r="X185" s="111">
        <f t="shared" si="52"/>
        <v>16726831.386</v>
      </c>
      <c r="Y185" s="97" t="s">
        <v>743</v>
      </c>
      <c r="AI185" s="97">
        <v>165</v>
      </c>
      <c r="AJ185" s="111" t="s">
        <v>5026</v>
      </c>
      <c r="AK185" s="111">
        <v>-200000</v>
      </c>
      <c r="AL185" s="97">
        <v>0</v>
      </c>
      <c r="AM185" s="20">
        <f t="shared" si="53"/>
        <v>796</v>
      </c>
      <c r="AN185" s="115">
        <f t="shared" si="54"/>
        <v>-159200000</v>
      </c>
      <c r="AO185" s="20" t="s">
        <v>5027</v>
      </c>
    </row>
    <row r="186" spans="5:44">
      <c r="G186" s="205" t="s">
        <v>5578</v>
      </c>
      <c r="H186" s="111">
        <v>22877413.789960001</v>
      </c>
      <c r="J186" t="s">
        <v>25</v>
      </c>
      <c r="K186" t="s">
        <v>25</v>
      </c>
      <c r="P186" s="112"/>
      <c r="Q186" s="112"/>
      <c r="R186" s="36" t="s">
        <v>6951</v>
      </c>
      <c r="S186" s="93">
        <v>562402000</v>
      </c>
      <c r="T186" s="113" t="s">
        <v>25</v>
      </c>
      <c r="U186" s="166" t="s">
        <v>4558</v>
      </c>
      <c r="V186" s="166">
        <v>172025</v>
      </c>
      <c r="W186" s="111">
        <v>245.52809999999999</v>
      </c>
      <c r="X186" s="111">
        <f t="shared" si="52"/>
        <v>42236971.402499996</v>
      </c>
      <c r="Y186" s="97" t="s">
        <v>452</v>
      </c>
      <c r="AI186" s="97">
        <v>166</v>
      </c>
      <c r="AJ186" s="111" t="s">
        <v>5026</v>
      </c>
      <c r="AK186" s="111">
        <v>200000</v>
      </c>
      <c r="AL186" s="97">
        <v>3</v>
      </c>
      <c r="AM186" s="20">
        <f t="shared" si="53"/>
        <v>796</v>
      </c>
      <c r="AN186" s="115">
        <f t="shared" si="54"/>
        <v>159200000</v>
      </c>
      <c r="AO186" s="20"/>
      <c r="AR186" t="s">
        <v>25</v>
      </c>
    </row>
    <row r="187" spans="5:44">
      <c r="G187" s="205" t="s">
        <v>5581</v>
      </c>
      <c r="H187" s="111">
        <v>2362539.4373280001</v>
      </c>
      <c r="J187" t="s">
        <v>25</v>
      </c>
      <c r="P187" s="112"/>
      <c r="Q187" s="112"/>
      <c r="R187" s="97"/>
      <c r="S187" s="93"/>
      <c r="T187" s="120" t="s">
        <v>25</v>
      </c>
      <c r="U187" s="166" t="s">
        <v>4558</v>
      </c>
      <c r="V187" s="166">
        <v>189227</v>
      </c>
      <c r="W187" s="111">
        <v>245.52809999999999</v>
      </c>
      <c r="X187" s="111">
        <f t="shared" si="52"/>
        <v>46460545.778700002</v>
      </c>
      <c r="Y187" s="97" t="s">
        <v>743</v>
      </c>
      <c r="AI187" s="97">
        <v>167</v>
      </c>
      <c r="AJ187" s="111" t="s">
        <v>5033</v>
      </c>
      <c r="AK187" s="111">
        <v>200000</v>
      </c>
      <c r="AL187" s="97">
        <v>3</v>
      </c>
      <c r="AM187" s="20">
        <f t="shared" si="53"/>
        <v>793</v>
      </c>
      <c r="AN187" s="115">
        <f t="shared" si="54"/>
        <v>158600000</v>
      </c>
      <c r="AO187" s="20"/>
    </row>
    <row r="188" spans="5:44">
      <c r="G188" s="205" t="s">
        <v>5582</v>
      </c>
      <c r="H188" s="111">
        <v>16042676.656608</v>
      </c>
      <c r="O188" s="112"/>
      <c r="P188" s="112"/>
      <c r="Q188" s="112"/>
      <c r="R188" s="97" t="s">
        <v>5044</v>
      </c>
      <c r="S188" s="93">
        <v>0</v>
      </c>
      <c r="T188" s="120"/>
      <c r="U188" s="166" t="s">
        <v>4559</v>
      </c>
      <c r="V188" s="166">
        <v>79720</v>
      </c>
      <c r="W188" s="111">
        <v>246.6568</v>
      </c>
      <c r="X188" s="111">
        <f t="shared" si="52"/>
        <v>19663480.096000001</v>
      </c>
      <c r="Y188" s="97" t="s">
        <v>452</v>
      </c>
      <c r="Z188" s="8" t="s">
        <v>25</v>
      </c>
      <c r="AA188" t="s">
        <v>25</v>
      </c>
      <c r="AI188" s="97">
        <v>168</v>
      </c>
      <c r="AJ188" s="111" t="s">
        <v>5036</v>
      </c>
      <c r="AK188" s="111">
        <v>30000</v>
      </c>
      <c r="AL188" s="97">
        <v>7</v>
      </c>
      <c r="AM188" s="20">
        <f t="shared" si="53"/>
        <v>790</v>
      </c>
      <c r="AN188" s="115">
        <f t="shared" si="54"/>
        <v>23700000</v>
      </c>
      <c r="AO188" s="20"/>
    </row>
    <row r="189" spans="5:44">
      <c r="G189" s="205" t="s">
        <v>5583</v>
      </c>
      <c r="H189" s="111">
        <v>18403291.448284</v>
      </c>
      <c r="O189" t="s">
        <v>25</v>
      </c>
      <c r="P189" s="112"/>
      <c r="Q189" s="112"/>
      <c r="R189" s="97"/>
      <c r="S189" s="93"/>
      <c r="T189" s="113"/>
      <c r="U189" s="166" t="s">
        <v>4559</v>
      </c>
      <c r="V189" s="166">
        <v>79720</v>
      </c>
      <c r="W189" s="111">
        <v>246.6568</v>
      </c>
      <c r="X189" s="111">
        <f t="shared" si="52"/>
        <v>19663480.096000001</v>
      </c>
      <c r="Y189" s="97" t="s">
        <v>743</v>
      </c>
      <c r="AI189" s="97">
        <v>169</v>
      </c>
      <c r="AJ189" s="111" t="s">
        <v>4995</v>
      </c>
      <c r="AK189" s="111">
        <v>-10000000</v>
      </c>
      <c r="AL189" s="97">
        <v>0</v>
      </c>
      <c r="AM189" s="20">
        <f t="shared" si="53"/>
        <v>783</v>
      </c>
      <c r="AN189" s="115">
        <f t="shared" si="54"/>
        <v>-7830000000</v>
      </c>
      <c r="AO189" s="20" t="s">
        <v>4955</v>
      </c>
    </row>
    <row r="190" spans="5:44">
      <c r="G190" s="205" t="s">
        <v>5586</v>
      </c>
      <c r="H190" s="111">
        <v>10561447.246918</v>
      </c>
      <c r="P190" s="112"/>
      <c r="Q190" s="112"/>
      <c r="R190" s="97"/>
      <c r="S190" s="93"/>
      <c r="T190" s="113"/>
      <c r="U190" s="166" t="s">
        <v>4580</v>
      </c>
      <c r="V190" s="166">
        <v>17769</v>
      </c>
      <c r="W190" s="111">
        <v>246.17877999999999</v>
      </c>
      <c r="X190" s="111">
        <f t="shared" si="52"/>
        <v>4374350.7418200001</v>
      </c>
      <c r="Y190" s="97" t="s">
        <v>743</v>
      </c>
      <c r="AI190" s="97">
        <v>170</v>
      </c>
      <c r="AJ190" s="111" t="s">
        <v>4995</v>
      </c>
      <c r="AK190" s="111">
        <v>6000000</v>
      </c>
      <c r="AL190" s="97">
        <v>8</v>
      </c>
      <c r="AM190" s="20">
        <f t="shared" si="53"/>
        <v>783</v>
      </c>
      <c r="AN190" s="115">
        <f t="shared" si="54"/>
        <v>4698000000</v>
      </c>
      <c r="AO190" s="20"/>
      <c r="AQ190" t="s">
        <v>25</v>
      </c>
    </row>
    <row r="191" spans="5:44">
      <c r="G191" s="205" t="s">
        <v>5587</v>
      </c>
      <c r="H191" s="111">
        <v>1226811.9176660001</v>
      </c>
      <c r="J191" t="s">
        <v>25</v>
      </c>
      <c r="K191" t="s">
        <v>25</v>
      </c>
      <c r="O191" t="s">
        <v>25</v>
      </c>
      <c r="P191" s="112"/>
      <c r="Q191" s="112"/>
      <c r="R191" s="97" t="s">
        <v>4416</v>
      </c>
      <c r="S191" s="93">
        <f>SUM(S174:S190)</f>
        <v>11093796737</v>
      </c>
      <c r="U191" s="166" t="s">
        <v>4580</v>
      </c>
      <c r="V191" s="166">
        <v>17769</v>
      </c>
      <c r="W191" s="111">
        <v>246.17877999999999</v>
      </c>
      <c r="X191" s="111">
        <f t="shared" si="52"/>
        <v>4374350.7418200001</v>
      </c>
      <c r="Y191" s="97" t="s">
        <v>452</v>
      </c>
      <c r="AI191" s="97">
        <v>171</v>
      </c>
      <c r="AJ191" s="111" t="s">
        <v>5060</v>
      </c>
      <c r="AK191" s="111">
        <v>150000</v>
      </c>
      <c r="AL191" s="97">
        <v>7</v>
      </c>
      <c r="AM191" s="20">
        <f>AM192+AL191</f>
        <v>775</v>
      </c>
      <c r="AN191" s="115">
        <f>AK191*AM191</f>
        <v>116250000</v>
      </c>
      <c r="AO191" s="20"/>
    </row>
    <row r="192" spans="5:44">
      <c r="G192" s="205" t="s">
        <v>5588</v>
      </c>
      <c r="H192" s="111">
        <v>39373959.190266006</v>
      </c>
      <c r="J192" t="s">
        <v>25</v>
      </c>
      <c r="P192" s="112"/>
      <c r="R192" s="94"/>
      <c r="U192" s="342" t="s">
        <v>4582</v>
      </c>
      <c r="V192" s="342">
        <v>12438</v>
      </c>
      <c r="W192" s="90">
        <v>241.20465999999999</v>
      </c>
      <c r="X192" s="90">
        <f t="shared" si="52"/>
        <v>3000103.5610799999</v>
      </c>
      <c r="Y192" s="89" t="s">
        <v>4406</v>
      </c>
      <c r="AI192" s="97">
        <v>172</v>
      </c>
      <c r="AJ192" s="111" t="s">
        <v>5093</v>
      </c>
      <c r="AK192" s="111">
        <v>400000</v>
      </c>
      <c r="AL192" s="97">
        <v>1</v>
      </c>
      <c r="AM192" s="20">
        <f>AM193+AL192</f>
        <v>768</v>
      </c>
      <c r="AN192" s="115">
        <f>AK192*AM192</f>
        <v>307200000</v>
      </c>
      <c r="AO192" s="20"/>
    </row>
    <row r="193" spans="7:46">
      <c r="G193" s="205" t="s">
        <v>5593</v>
      </c>
      <c r="H193" s="111">
        <v>27703487.063980002</v>
      </c>
      <c r="P193" s="112"/>
      <c r="U193" s="166" t="s">
        <v>4591</v>
      </c>
      <c r="V193" s="166">
        <v>27363</v>
      </c>
      <c r="W193" s="111">
        <v>239.3886</v>
      </c>
      <c r="X193" s="111">
        <f t="shared" si="52"/>
        <v>6550390.2617999995</v>
      </c>
      <c r="Y193" s="97" t="s">
        <v>743</v>
      </c>
      <c r="AI193" s="97">
        <v>173</v>
      </c>
      <c r="AJ193" s="111" t="s">
        <v>5096</v>
      </c>
      <c r="AK193" s="111">
        <v>-100000</v>
      </c>
      <c r="AL193" s="97">
        <v>1</v>
      </c>
      <c r="AM193" s="20">
        <f>AM194+AL193</f>
        <v>767</v>
      </c>
      <c r="AN193" s="115">
        <f>AK193*AM193</f>
        <v>-76700000</v>
      </c>
      <c r="AO193" s="20"/>
    </row>
    <row r="194" spans="7:46">
      <c r="G194" s="205" t="s">
        <v>5594</v>
      </c>
      <c r="H194" s="111">
        <v>8738896.6890719999</v>
      </c>
      <c r="O194" t="s">
        <v>25</v>
      </c>
      <c r="P194" s="112"/>
      <c r="R194" s="205" t="s">
        <v>8</v>
      </c>
      <c r="S194" s="205" t="s">
        <v>4406</v>
      </c>
      <c r="T194" s="205"/>
      <c r="U194" s="166" t="s">
        <v>4591</v>
      </c>
      <c r="V194" s="166">
        <v>27363</v>
      </c>
      <c r="W194" s="111">
        <v>239.3886</v>
      </c>
      <c r="X194" s="111">
        <f t="shared" si="52"/>
        <v>6550390.2617999995</v>
      </c>
      <c r="Y194" s="97" t="s">
        <v>452</v>
      </c>
      <c r="AI194" s="97">
        <v>174</v>
      </c>
      <c r="AJ194" s="111" t="s">
        <v>5100</v>
      </c>
      <c r="AK194" s="111">
        <v>10000000</v>
      </c>
      <c r="AL194" s="97">
        <v>1</v>
      </c>
      <c r="AM194" s="20">
        <f>AM195+AL194</f>
        <v>766</v>
      </c>
      <c r="AN194" s="115">
        <f>AK194*AM194</f>
        <v>7660000000</v>
      </c>
      <c r="AO194" s="20" t="s">
        <v>4669</v>
      </c>
      <c r="AT194" t="s">
        <v>25</v>
      </c>
    </row>
    <row r="195" spans="7:46">
      <c r="G195" s="205" t="s">
        <v>4182</v>
      </c>
      <c r="H195" s="111">
        <v>348201.66738</v>
      </c>
      <c r="P195" s="112"/>
      <c r="R195" s="205"/>
      <c r="S195" s="71" t="s">
        <v>180</v>
      </c>
      <c r="T195" s="205" t="s">
        <v>267</v>
      </c>
      <c r="U195" s="203" t="s">
        <v>4593</v>
      </c>
      <c r="V195" s="203">
        <v>27437</v>
      </c>
      <c r="W195" s="111">
        <v>242.4015</v>
      </c>
      <c r="X195" s="111">
        <f t="shared" si="52"/>
        <v>6650769.9555000002</v>
      </c>
      <c r="Y195" s="97" t="s">
        <v>743</v>
      </c>
      <c r="AI195" s="97">
        <v>175</v>
      </c>
      <c r="AJ195" s="111" t="s">
        <v>5105</v>
      </c>
      <c r="AK195" s="111">
        <v>-400000</v>
      </c>
      <c r="AL195" s="97">
        <v>6</v>
      </c>
      <c r="AM195" s="20">
        <f t="shared" ref="AM195:AM203" si="55">AM196+AL195</f>
        <v>765</v>
      </c>
      <c r="AN195" s="115">
        <f t="shared" ref="AN195:AN203" si="56">AK195*AM195</f>
        <v>-306000000</v>
      </c>
      <c r="AO195" s="20"/>
    </row>
    <row r="196" spans="7:46">
      <c r="G196" s="205" t="s">
        <v>5596</v>
      </c>
      <c r="H196" s="111">
        <v>4158090.8935679998</v>
      </c>
      <c r="Q196" s="112"/>
      <c r="R196" s="205"/>
      <c r="S196" s="205" t="s">
        <v>4399</v>
      </c>
      <c r="T196" s="111">
        <v>3000000</v>
      </c>
      <c r="U196" s="203" t="s">
        <v>4593</v>
      </c>
      <c r="V196" s="203">
        <v>29104</v>
      </c>
      <c r="W196" s="111">
        <v>242.4015</v>
      </c>
      <c r="X196" s="111">
        <f t="shared" si="52"/>
        <v>7054853.2560000001</v>
      </c>
      <c r="Y196" s="97" t="s">
        <v>452</v>
      </c>
      <c r="AI196" s="97">
        <v>176</v>
      </c>
      <c r="AJ196" s="111" t="s">
        <v>5112</v>
      </c>
      <c r="AK196" s="111">
        <v>1300000</v>
      </c>
      <c r="AL196" s="97">
        <v>0</v>
      </c>
      <c r="AM196" s="20">
        <f t="shared" si="55"/>
        <v>759</v>
      </c>
      <c r="AN196" s="115">
        <f t="shared" si="56"/>
        <v>986700000</v>
      </c>
      <c r="AO196" s="20"/>
      <c r="AS196" t="s">
        <v>25</v>
      </c>
    </row>
    <row r="197" spans="7:46">
      <c r="G197" s="205" t="s">
        <v>5600</v>
      </c>
      <c r="H197" s="111">
        <v>110770524.97879399</v>
      </c>
      <c r="P197" s="112"/>
      <c r="Q197" s="112"/>
      <c r="R197" s="205"/>
      <c r="S197" s="205" t="s">
        <v>4443</v>
      </c>
      <c r="T197" s="111">
        <v>2000000</v>
      </c>
      <c r="U197" s="205" t="s">
        <v>4606</v>
      </c>
      <c r="V197" s="205">
        <v>8991</v>
      </c>
      <c r="W197" s="111">
        <v>238.64867000000001</v>
      </c>
      <c r="X197" s="111">
        <f t="shared" si="52"/>
        <v>2145690.19197</v>
      </c>
      <c r="Y197" s="97" t="s">
        <v>743</v>
      </c>
      <c r="AI197" s="97">
        <v>177</v>
      </c>
      <c r="AJ197" s="111" t="s">
        <v>5112</v>
      </c>
      <c r="AK197" s="111">
        <v>230000</v>
      </c>
      <c r="AL197" s="97">
        <v>1</v>
      </c>
      <c r="AM197" s="20">
        <f t="shared" si="55"/>
        <v>759</v>
      </c>
      <c r="AN197" s="115">
        <f t="shared" si="56"/>
        <v>174570000</v>
      </c>
      <c r="AO197" s="20"/>
    </row>
    <row r="198" spans="7:46">
      <c r="G198" s="205" t="s">
        <v>5612</v>
      </c>
      <c r="H198" s="111">
        <v>6684147.0064600008</v>
      </c>
      <c r="J198" t="s">
        <v>25</v>
      </c>
      <c r="Q198" s="112"/>
      <c r="R198" s="205"/>
      <c r="S198" s="205" t="s">
        <v>4451</v>
      </c>
      <c r="T198" s="111">
        <v>1000000</v>
      </c>
      <c r="U198" s="205" t="s">
        <v>4606</v>
      </c>
      <c r="V198" s="205">
        <v>8991</v>
      </c>
      <c r="W198" s="111">
        <v>238.64867000000001</v>
      </c>
      <c r="X198" s="111">
        <f t="shared" si="52"/>
        <v>2145690.19197</v>
      </c>
      <c r="Y198" s="97" t="s">
        <v>452</v>
      </c>
      <c r="AI198" s="97">
        <v>178</v>
      </c>
      <c r="AJ198" s="111" t="s">
        <v>5115</v>
      </c>
      <c r="AK198" s="111">
        <v>880000</v>
      </c>
      <c r="AL198" s="97">
        <v>4</v>
      </c>
      <c r="AM198" s="20">
        <f t="shared" si="55"/>
        <v>758</v>
      </c>
      <c r="AN198" s="115">
        <f t="shared" si="56"/>
        <v>667040000</v>
      </c>
      <c r="AO198" s="20"/>
    </row>
    <row r="199" spans="7:46">
      <c r="G199" s="205" t="s">
        <v>5615</v>
      </c>
      <c r="H199" s="111">
        <v>1826535.2307560001</v>
      </c>
      <c r="J199" t="s">
        <v>25</v>
      </c>
      <c r="Q199" s="112"/>
      <c r="R199" s="205"/>
      <c r="S199" s="205" t="s">
        <v>4455</v>
      </c>
      <c r="T199" s="111">
        <v>2000000</v>
      </c>
      <c r="U199" s="205" t="s">
        <v>4617</v>
      </c>
      <c r="V199" s="205">
        <v>18170</v>
      </c>
      <c r="W199" s="111">
        <v>240.48475999999999</v>
      </c>
      <c r="X199" s="111">
        <f t="shared" si="52"/>
        <v>4369608.0892000003</v>
      </c>
      <c r="Y199" s="97" t="s">
        <v>743</v>
      </c>
      <c r="AI199" s="97">
        <v>179</v>
      </c>
      <c r="AJ199" s="111" t="s">
        <v>5119</v>
      </c>
      <c r="AK199" s="111">
        <v>-900000</v>
      </c>
      <c r="AL199" s="97">
        <v>1</v>
      </c>
      <c r="AM199" s="20">
        <f t="shared" si="55"/>
        <v>754</v>
      </c>
      <c r="AN199" s="115">
        <f t="shared" si="56"/>
        <v>-678600000</v>
      </c>
      <c r="AO199" s="20"/>
    </row>
    <row r="200" spans="7:46">
      <c r="G200" s="205" t="s">
        <v>5619</v>
      </c>
      <c r="H200" s="111">
        <v>3577366.94</v>
      </c>
      <c r="Q200" s="112"/>
      <c r="R200" s="205"/>
      <c r="S200" s="205" t="s">
        <v>977</v>
      </c>
      <c r="T200" s="111">
        <v>3000000</v>
      </c>
      <c r="U200" s="205" t="s">
        <v>4617</v>
      </c>
      <c r="V200" s="205">
        <v>18170</v>
      </c>
      <c r="W200" s="111">
        <v>240.48475999999999</v>
      </c>
      <c r="X200" s="111">
        <f t="shared" si="52"/>
        <v>4369608.0892000003</v>
      </c>
      <c r="Y200" s="97" t="s">
        <v>452</v>
      </c>
      <c r="AI200" s="97">
        <v>180</v>
      </c>
      <c r="AJ200" s="111" t="s">
        <v>975</v>
      </c>
      <c r="AK200" s="111">
        <v>-3500000</v>
      </c>
      <c r="AL200" s="97">
        <v>1</v>
      </c>
      <c r="AM200" s="20">
        <f t="shared" si="55"/>
        <v>753</v>
      </c>
      <c r="AN200" s="115">
        <f t="shared" si="56"/>
        <v>-2635500000</v>
      </c>
      <c r="AO200" s="20"/>
      <c r="AS200" t="s">
        <v>25</v>
      </c>
    </row>
    <row r="201" spans="7:46">
      <c r="G201" s="205" t="s">
        <v>5621</v>
      </c>
      <c r="H201" s="111">
        <v>21239029.173567999</v>
      </c>
      <c r="Q201" s="112"/>
      <c r="R201" s="205"/>
      <c r="S201" s="205" t="s">
        <v>4582</v>
      </c>
      <c r="T201" s="111">
        <v>3000000</v>
      </c>
      <c r="U201" s="205" t="s">
        <v>4619</v>
      </c>
      <c r="V201" s="205">
        <v>36797</v>
      </c>
      <c r="W201" s="111">
        <v>239.0822</v>
      </c>
      <c r="X201" s="111">
        <f t="shared" si="52"/>
        <v>8797507.7134000007</v>
      </c>
      <c r="Y201" s="97" t="s">
        <v>743</v>
      </c>
      <c r="AI201" s="97">
        <v>181</v>
      </c>
      <c r="AJ201" s="111" t="s">
        <v>4253</v>
      </c>
      <c r="AK201" s="111">
        <v>-1600000</v>
      </c>
      <c r="AL201" s="97">
        <v>1</v>
      </c>
      <c r="AM201" s="20">
        <f t="shared" si="55"/>
        <v>752</v>
      </c>
      <c r="AN201" s="115">
        <f t="shared" si="56"/>
        <v>-1203200000</v>
      </c>
      <c r="AO201" s="20"/>
      <c r="AR201" t="s">
        <v>25</v>
      </c>
    </row>
    <row r="202" spans="7:46">
      <c r="G202" s="205" t="s">
        <v>5624</v>
      </c>
      <c r="H202" s="111">
        <v>242957252.40163299</v>
      </c>
      <c r="J202" t="s">
        <v>25</v>
      </c>
      <c r="P202" s="112"/>
      <c r="Q202" s="112"/>
      <c r="R202" s="205" t="s">
        <v>4743</v>
      </c>
      <c r="S202" s="205" t="s">
        <v>4738</v>
      </c>
      <c r="T202" s="111">
        <v>-800000</v>
      </c>
      <c r="U202" s="205" t="s">
        <v>4619</v>
      </c>
      <c r="V202" s="205">
        <v>36797</v>
      </c>
      <c r="W202" s="111">
        <v>239.0822</v>
      </c>
      <c r="X202" s="111">
        <f t="shared" si="52"/>
        <v>8797507.7134000007</v>
      </c>
      <c r="Y202" s="97" t="s">
        <v>452</v>
      </c>
      <c r="AA202" t="s">
        <v>25</v>
      </c>
      <c r="AI202" s="97">
        <v>182</v>
      </c>
      <c r="AJ202" s="111" t="s">
        <v>5124</v>
      </c>
      <c r="AK202" s="111">
        <v>-800000</v>
      </c>
      <c r="AL202" s="97">
        <v>7</v>
      </c>
      <c r="AM202" s="20">
        <f t="shared" si="55"/>
        <v>751</v>
      </c>
      <c r="AN202" s="115">
        <f t="shared" si="56"/>
        <v>-600800000</v>
      </c>
      <c r="AO202" s="20"/>
    </row>
    <row r="203" spans="7:46">
      <c r="G203" s="205" t="s">
        <v>5628</v>
      </c>
      <c r="H203" s="111">
        <v>7357181.2750800001</v>
      </c>
      <c r="O203" t="s">
        <v>25</v>
      </c>
      <c r="P203" s="112"/>
      <c r="Q203" s="112"/>
      <c r="R203" s="205" t="s">
        <v>4744</v>
      </c>
      <c r="S203" s="205" t="s">
        <v>4738</v>
      </c>
      <c r="T203" s="111">
        <v>-900000</v>
      </c>
      <c r="U203" s="205" t="s">
        <v>4628</v>
      </c>
      <c r="V203" s="205">
        <v>28066</v>
      </c>
      <c r="W203" s="111">
        <v>237.56970000000001</v>
      </c>
      <c r="X203" s="111">
        <f t="shared" si="52"/>
        <v>6667631.2002000008</v>
      </c>
      <c r="Y203" s="97" t="s">
        <v>743</v>
      </c>
      <c r="AI203" s="97">
        <v>183</v>
      </c>
      <c r="AJ203" s="111" t="s">
        <v>5132</v>
      </c>
      <c r="AK203" s="111">
        <v>50000</v>
      </c>
      <c r="AL203" s="97">
        <v>2</v>
      </c>
      <c r="AM203" s="20">
        <f t="shared" si="55"/>
        <v>744</v>
      </c>
      <c r="AN203" s="115">
        <f t="shared" si="56"/>
        <v>37200000</v>
      </c>
      <c r="AO203" s="20"/>
    </row>
    <row r="204" spans="7:46">
      <c r="G204" s="205" t="s">
        <v>5630</v>
      </c>
      <c r="H204" s="111">
        <v>14951411.942400001</v>
      </c>
      <c r="J204" t="s">
        <v>25</v>
      </c>
      <c r="P204" s="112"/>
      <c r="R204" s="205" t="s">
        <v>4744</v>
      </c>
      <c r="S204" s="205" t="s">
        <v>964</v>
      </c>
      <c r="T204" s="111">
        <v>-1100000</v>
      </c>
      <c r="U204" s="205" t="s">
        <v>4628</v>
      </c>
      <c r="V204" s="205">
        <v>28066</v>
      </c>
      <c r="W204" s="111">
        <v>237.56970000000001</v>
      </c>
      <c r="X204" s="111">
        <f t="shared" si="52"/>
        <v>6667631.2002000008</v>
      </c>
      <c r="Y204" s="97" t="s">
        <v>452</v>
      </c>
      <c r="Z204" t="s">
        <v>25</v>
      </c>
      <c r="AI204" s="97">
        <v>184</v>
      </c>
      <c r="AJ204" s="111" t="s">
        <v>5134</v>
      </c>
      <c r="AK204" s="111">
        <v>400000</v>
      </c>
      <c r="AL204" s="97">
        <v>8</v>
      </c>
      <c r="AM204" s="20">
        <f t="shared" ref="AM204:AM213" si="57">AM205+AL204</f>
        <v>742</v>
      </c>
      <c r="AN204" s="115">
        <f t="shared" ref="AN204:AN213" si="58">AK204*AM204</f>
        <v>296800000</v>
      </c>
      <c r="AO204" s="20"/>
      <c r="AS204" t="s">
        <v>25</v>
      </c>
    </row>
    <row r="205" spans="7:46">
      <c r="G205" s="205" t="s">
        <v>5634</v>
      </c>
      <c r="H205" s="111">
        <v>47928209.377011999</v>
      </c>
      <c r="J205" t="s">
        <v>25</v>
      </c>
      <c r="P205" s="112"/>
      <c r="Q205" s="112"/>
      <c r="R205" s="188" t="s">
        <v>1069</v>
      </c>
      <c r="S205" s="188" t="s">
        <v>4766</v>
      </c>
      <c r="T205" s="192">
        <v>30000000</v>
      </c>
      <c r="U205" s="205" t="s">
        <v>3666</v>
      </c>
      <c r="V205" s="205">
        <v>37457</v>
      </c>
      <c r="W205" s="111">
        <v>239.77</v>
      </c>
      <c r="X205" s="111">
        <f t="shared" si="52"/>
        <v>8981064.8900000006</v>
      </c>
      <c r="Y205" s="97" t="s">
        <v>743</v>
      </c>
      <c r="AI205" s="97">
        <v>185</v>
      </c>
      <c r="AJ205" s="111" t="s">
        <v>5110</v>
      </c>
      <c r="AK205" s="111">
        <v>-10000000</v>
      </c>
      <c r="AL205" s="97">
        <v>0</v>
      </c>
      <c r="AM205" s="20">
        <f t="shared" si="57"/>
        <v>734</v>
      </c>
      <c r="AN205" s="115">
        <f t="shared" si="58"/>
        <v>-7340000000</v>
      </c>
      <c r="AO205" s="20" t="s">
        <v>4955</v>
      </c>
    </row>
    <row r="206" spans="7:46">
      <c r="G206" s="205" t="s">
        <v>5636</v>
      </c>
      <c r="H206" s="111">
        <v>2281595.69937</v>
      </c>
      <c r="P206" s="112"/>
      <c r="Q206" s="112"/>
      <c r="R206" s="19" t="s">
        <v>4841</v>
      </c>
      <c r="S206" s="19" t="s">
        <v>4839</v>
      </c>
      <c r="T206" s="115">
        <v>2000000</v>
      </c>
      <c r="U206" s="205" t="s">
        <v>3666</v>
      </c>
      <c r="V206" s="205">
        <v>37457</v>
      </c>
      <c r="W206" s="111">
        <v>239.77</v>
      </c>
      <c r="X206" s="111">
        <f t="shared" si="52"/>
        <v>8981064.8900000006</v>
      </c>
      <c r="Y206" s="97" t="s">
        <v>452</v>
      </c>
      <c r="Z206" s="94" t="s">
        <v>25</v>
      </c>
      <c r="AI206" s="97">
        <v>186</v>
      </c>
      <c r="AJ206" s="111" t="s">
        <v>5110</v>
      </c>
      <c r="AK206" s="111">
        <v>3000000</v>
      </c>
      <c r="AL206" s="97">
        <v>1</v>
      </c>
      <c r="AM206" s="20">
        <f t="shared" si="57"/>
        <v>734</v>
      </c>
      <c r="AN206" s="115">
        <f t="shared" si="58"/>
        <v>2202000000</v>
      </c>
      <c r="AO206" s="20"/>
    </row>
    <row r="207" spans="7:46">
      <c r="G207" s="205" t="s">
        <v>5638</v>
      </c>
      <c r="H207" s="111">
        <v>2964916.035069</v>
      </c>
      <c r="P207" s="112"/>
      <c r="R207" s="187" t="s">
        <v>4862</v>
      </c>
      <c r="S207" s="187" t="s">
        <v>4861</v>
      </c>
      <c r="T207" s="186">
        <v>480105</v>
      </c>
      <c r="U207" s="205" t="s">
        <v>4640</v>
      </c>
      <c r="V207" s="205">
        <v>38412</v>
      </c>
      <c r="W207" s="111">
        <v>239.03</v>
      </c>
      <c r="X207" s="111">
        <f t="shared" si="52"/>
        <v>9181620.3599999994</v>
      </c>
      <c r="Y207" s="97" t="s">
        <v>743</v>
      </c>
      <c r="Z207" t="s">
        <v>25</v>
      </c>
      <c r="AI207" s="97">
        <v>187</v>
      </c>
      <c r="AJ207" s="111" t="s">
        <v>5146</v>
      </c>
      <c r="AK207" s="111">
        <v>500000</v>
      </c>
      <c r="AL207" s="97">
        <v>23</v>
      </c>
      <c r="AM207" s="20">
        <f t="shared" si="57"/>
        <v>733</v>
      </c>
      <c r="AN207" s="115">
        <f t="shared" si="58"/>
        <v>366500000</v>
      </c>
      <c r="AO207" s="20"/>
      <c r="AS207" t="s">
        <v>25</v>
      </c>
    </row>
    <row r="208" spans="7:46">
      <c r="G208" s="205" t="s">
        <v>5639</v>
      </c>
      <c r="H208" s="111">
        <v>6460549.4269619994</v>
      </c>
      <c r="K208" t="s">
        <v>25</v>
      </c>
      <c r="P208" s="112"/>
      <c r="Q208" s="112"/>
      <c r="R208" s="187"/>
      <c r="S208" s="187" t="s">
        <v>4902</v>
      </c>
      <c r="T208" s="186">
        <v>30500000</v>
      </c>
      <c r="U208" s="205" t="s">
        <v>4640</v>
      </c>
      <c r="V208" s="205">
        <v>38412</v>
      </c>
      <c r="W208" s="111">
        <v>239.03</v>
      </c>
      <c r="X208" s="111">
        <f t="shared" si="52"/>
        <v>9181620.3599999994</v>
      </c>
      <c r="Y208" s="97" t="s">
        <v>452</v>
      </c>
      <c r="AI208" s="97">
        <v>188</v>
      </c>
      <c r="AJ208" s="111" t="s">
        <v>5167</v>
      </c>
      <c r="AK208" s="111">
        <v>101268</v>
      </c>
      <c r="AL208" s="97">
        <v>1</v>
      </c>
      <c r="AM208" s="20">
        <f t="shared" si="57"/>
        <v>710</v>
      </c>
      <c r="AN208" s="115">
        <f t="shared" si="58"/>
        <v>71900280</v>
      </c>
      <c r="AO208" s="20"/>
      <c r="AS208" t="s">
        <v>25</v>
      </c>
    </row>
    <row r="209" spans="7:47">
      <c r="G209" s="205" t="s">
        <v>5641</v>
      </c>
      <c r="H209" s="111">
        <v>5212319.8968359996</v>
      </c>
      <c r="P209" s="112"/>
      <c r="Q209" s="112"/>
      <c r="R209" s="19" t="s">
        <v>4930</v>
      </c>
      <c r="S209" s="19" t="s">
        <v>4925</v>
      </c>
      <c r="T209" s="115">
        <v>-400000</v>
      </c>
      <c r="U209" s="205" t="s">
        <v>4643</v>
      </c>
      <c r="V209" s="205">
        <v>49555</v>
      </c>
      <c r="W209" s="111">
        <v>238.345</v>
      </c>
      <c r="X209" s="111">
        <f t="shared" si="52"/>
        <v>11811186.475</v>
      </c>
      <c r="Y209" s="97" t="s">
        <v>743</v>
      </c>
      <c r="AI209" s="97">
        <v>189</v>
      </c>
      <c r="AJ209" s="111" t="s">
        <v>5170</v>
      </c>
      <c r="AK209" s="111">
        <v>101000</v>
      </c>
      <c r="AL209" s="97">
        <v>34</v>
      </c>
      <c r="AM209" s="20">
        <f t="shared" si="57"/>
        <v>709</v>
      </c>
      <c r="AN209" s="115">
        <f t="shared" si="58"/>
        <v>71609000</v>
      </c>
      <c r="AO209" s="20"/>
      <c r="AQ209" t="s">
        <v>25</v>
      </c>
      <c r="AU209" s="94" t="s">
        <v>25</v>
      </c>
    </row>
    <row r="210" spans="7:47">
      <c r="G210" s="205" t="s">
        <v>5644</v>
      </c>
      <c r="H210" s="111">
        <v>4524496.4792809999</v>
      </c>
      <c r="J210" t="s">
        <v>25</v>
      </c>
      <c r="R210" s="187" t="s">
        <v>5039</v>
      </c>
      <c r="S210" s="187" t="s">
        <v>4960</v>
      </c>
      <c r="T210" s="186">
        <v>-349550</v>
      </c>
      <c r="U210" s="205" t="s">
        <v>4643</v>
      </c>
      <c r="V210" s="205">
        <v>49555</v>
      </c>
      <c r="W210" s="111">
        <v>238.345</v>
      </c>
      <c r="X210" s="111">
        <f t="shared" si="52"/>
        <v>11811186.475</v>
      </c>
      <c r="Y210" s="97" t="s">
        <v>452</v>
      </c>
      <c r="AI210" s="97">
        <v>190</v>
      </c>
      <c r="AJ210" s="111" t="s">
        <v>5195</v>
      </c>
      <c r="AK210" s="111">
        <v>-488602</v>
      </c>
      <c r="AL210" s="97">
        <v>5</v>
      </c>
      <c r="AM210" s="20">
        <f t="shared" si="57"/>
        <v>675</v>
      </c>
      <c r="AN210" s="115">
        <f t="shared" si="58"/>
        <v>-329806350</v>
      </c>
      <c r="AO210" s="20"/>
      <c r="AS210" t="s">
        <v>25</v>
      </c>
    </row>
    <row r="211" spans="7:47">
      <c r="G211" s="205" t="s">
        <v>5646</v>
      </c>
      <c r="H211" s="111">
        <v>22866040.240959998</v>
      </c>
      <c r="O211" t="s">
        <v>25</v>
      </c>
      <c r="P211" s="112"/>
      <c r="Q211" s="112"/>
      <c r="R211" s="19" t="s">
        <v>4930</v>
      </c>
      <c r="S211" s="19" t="s">
        <v>5100</v>
      </c>
      <c r="T211" s="115">
        <v>-200000</v>
      </c>
      <c r="U211" s="205" t="s">
        <v>4655</v>
      </c>
      <c r="V211" s="205">
        <v>160187</v>
      </c>
      <c r="W211" s="111">
        <v>257.49799999999999</v>
      </c>
      <c r="X211" s="111">
        <f t="shared" si="52"/>
        <v>41247832.126000002</v>
      </c>
      <c r="Y211" s="97" t="s">
        <v>743</v>
      </c>
      <c r="Z211" t="s">
        <v>25</v>
      </c>
      <c r="AI211" s="97">
        <v>191</v>
      </c>
      <c r="AJ211" s="111" t="s">
        <v>5209</v>
      </c>
      <c r="AK211" s="111">
        <v>360000</v>
      </c>
      <c r="AL211" s="97">
        <v>10</v>
      </c>
      <c r="AM211" s="20">
        <f t="shared" si="57"/>
        <v>670</v>
      </c>
      <c r="AN211" s="115">
        <f t="shared" si="58"/>
        <v>241200000</v>
      </c>
      <c r="AO211" s="20"/>
      <c r="AS211" t="s">
        <v>25</v>
      </c>
    </row>
    <row r="212" spans="7:47">
      <c r="G212" s="205" t="s">
        <v>5648</v>
      </c>
      <c r="H212" s="111">
        <v>15359304.269892</v>
      </c>
      <c r="J212" t="s">
        <v>25</v>
      </c>
      <c r="P212" s="112"/>
      <c r="R212" s="19" t="s">
        <v>4930</v>
      </c>
      <c r="S212" s="19" t="s">
        <v>5132</v>
      </c>
      <c r="T212" s="115">
        <v>-122000</v>
      </c>
      <c r="U212" s="205" t="s">
        <v>4655</v>
      </c>
      <c r="V212" s="205">
        <v>160187</v>
      </c>
      <c r="W212" s="111">
        <v>257.49799999999999</v>
      </c>
      <c r="X212" s="111">
        <f t="shared" si="52"/>
        <v>41247832.126000002</v>
      </c>
      <c r="Y212" s="97" t="s">
        <v>452</v>
      </c>
      <c r="AB212" t="s">
        <v>25</v>
      </c>
      <c r="AI212" s="97">
        <v>192</v>
      </c>
      <c r="AJ212" s="111" t="s">
        <v>5219</v>
      </c>
      <c r="AK212" s="111">
        <v>-3600000</v>
      </c>
      <c r="AL212" s="97">
        <v>4</v>
      </c>
      <c r="AM212" s="20">
        <f t="shared" si="57"/>
        <v>660</v>
      </c>
      <c r="AN212" s="115">
        <f t="shared" si="58"/>
        <v>-2376000000</v>
      </c>
      <c r="AO212" s="20"/>
      <c r="AT212" t="s">
        <v>25</v>
      </c>
    </row>
    <row r="213" spans="7:47">
      <c r="G213" s="205" t="s">
        <v>5650</v>
      </c>
      <c r="H213" s="111">
        <v>2868508.1846330003</v>
      </c>
      <c r="R213" s="19" t="s">
        <v>4930</v>
      </c>
      <c r="S213" s="19" t="s">
        <v>5140</v>
      </c>
      <c r="T213" s="115">
        <v>-700000</v>
      </c>
      <c r="U213" s="205" t="s">
        <v>4662</v>
      </c>
      <c r="V213" s="205">
        <v>144401</v>
      </c>
      <c r="W213" s="111">
        <v>258.5061</v>
      </c>
      <c r="X213" s="111">
        <f t="shared" si="52"/>
        <v>37328539.346100003</v>
      </c>
      <c r="Y213" s="97" t="s">
        <v>743</v>
      </c>
      <c r="AA213" t="s">
        <v>25</v>
      </c>
      <c r="AI213" s="97">
        <v>193</v>
      </c>
      <c r="AJ213" s="111" t="s">
        <v>5225</v>
      </c>
      <c r="AK213" s="111">
        <v>-1000000</v>
      </c>
      <c r="AL213" s="97">
        <v>5</v>
      </c>
      <c r="AM213" s="20">
        <f t="shared" si="57"/>
        <v>656</v>
      </c>
      <c r="AN213" s="115">
        <f t="shared" si="58"/>
        <v>-656000000</v>
      </c>
      <c r="AO213" s="20"/>
      <c r="AS213" t="s">
        <v>25</v>
      </c>
    </row>
    <row r="214" spans="7:47">
      <c r="G214" s="205" t="s">
        <v>5651</v>
      </c>
      <c r="H214" s="111">
        <v>17450393.011856001</v>
      </c>
      <c r="P214" s="112"/>
      <c r="R214" s="19" t="s">
        <v>4930</v>
      </c>
      <c r="S214" s="19" t="s">
        <v>5150</v>
      </c>
      <c r="T214" s="115">
        <v>-60000</v>
      </c>
      <c r="U214" s="205" t="s">
        <v>4662</v>
      </c>
      <c r="V214" s="205">
        <v>144401</v>
      </c>
      <c r="W214" s="111">
        <v>258.5061</v>
      </c>
      <c r="X214" s="111">
        <f t="shared" si="52"/>
        <v>37328539.346100003</v>
      </c>
      <c r="Y214" s="97" t="s">
        <v>452</v>
      </c>
      <c r="AI214" s="97">
        <v>194</v>
      </c>
      <c r="AJ214" s="111" t="s">
        <v>5230</v>
      </c>
      <c r="AK214" s="111">
        <v>360000</v>
      </c>
      <c r="AL214" s="97">
        <v>2</v>
      </c>
      <c r="AM214" s="20">
        <f t="shared" ref="AM214:AM274" si="59">AM215+AL214</f>
        <v>651</v>
      </c>
      <c r="AN214" s="115">
        <f t="shared" ref="AN214:AN274" si="60">AK214*AM214</f>
        <v>234360000</v>
      </c>
      <c r="AO214" s="20"/>
      <c r="AR214" t="s">
        <v>25</v>
      </c>
    </row>
    <row r="215" spans="7:47">
      <c r="G215" s="205" t="s">
        <v>5652</v>
      </c>
      <c r="H215" s="111">
        <v>31388943.254850004</v>
      </c>
      <c r="J215" t="s">
        <v>25</v>
      </c>
      <c r="P215" s="112"/>
      <c r="Q215" s="112"/>
      <c r="R215" s="19" t="s">
        <v>4406</v>
      </c>
      <c r="S215" s="19" t="s">
        <v>5209</v>
      </c>
      <c r="T215" s="115">
        <v>700000</v>
      </c>
      <c r="U215" s="166" t="s">
        <v>4668</v>
      </c>
      <c r="V215" s="166">
        <v>196500</v>
      </c>
      <c r="W215" s="111">
        <v>254.452</v>
      </c>
      <c r="X215" s="111">
        <f t="shared" si="52"/>
        <v>49999818</v>
      </c>
      <c r="Y215" s="97" t="s">
        <v>4670</v>
      </c>
      <c r="Z215" t="s">
        <v>25</v>
      </c>
      <c r="AI215" s="97">
        <v>195</v>
      </c>
      <c r="AJ215" s="111" t="s">
        <v>5235</v>
      </c>
      <c r="AK215" s="111">
        <v>2000000</v>
      </c>
      <c r="AL215" s="97">
        <v>1</v>
      </c>
      <c r="AM215" s="20">
        <f t="shared" si="59"/>
        <v>649</v>
      </c>
      <c r="AN215" s="115">
        <f t="shared" si="60"/>
        <v>1298000000</v>
      </c>
      <c r="AO215" s="20"/>
    </row>
    <row r="216" spans="7:47">
      <c r="G216" s="205" t="s">
        <v>5653</v>
      </c>
      <c r="H216" s="111">
        <v>30912095.373174001</v>
      </c>
      <c r="Q216" s="112"/>
      <c r="R216" s="187" t="s">
        <v>1069</v>
      </c>
      <c r="S216" s="187" t="s">
        <v>5228</v>
      </c>
      <c r="T216" s="186">
        <v>40000000</v>
      </c>
      <c r="U216" s="205" t="s">
        <v>4668</v>
      </c>
      <c r="V216" s="205">
        <v>2561</v>
      </c>
      <c r="W216" s="111">
        <v>254.536</v>
      </c>
      <c r="X216" s="111">
        <f t="shared" si="52"/>
        <v>651866.696</v>
      </c>
      <c r="Y216" s="97" t="s">
        <v>4671</v>
      </c>
      <c r="AI216" s="97">
        <v>196</v>
      </c>
      <c r="AJ216" s="111" t="s">
        <v>5237</v>
      </c>
      <c r="AK216" s="111">
        <v>20000000</v>
      </c>
      <c r="AL216" s="97">
        <v>0</v>
      </c>
      <c r="AM216" s="20">
        <f t="shared" si="59"/>
        <v>648</v>
      </c>
      <c r="AN216" s="115">
        <f t="shared" si="60"/>
        <v>12960000000</v>
      </c>
      <c r="AO216" s="20" t="s">
        <v>4669</v>
      </c>
      <c r="AS216" t="s">
        <v>25</v>
      </c>
    </row>
    <row r="217" spans="7:47">
      <c r="G217" s="205" t="s">
        <v>5655</v>
      </c>
      <c r="H217" s="111">
        <v>19602926.115093999</v>
      </c>
      <c r="K217" t="s">
        <v>25</v>
      </c>
      <c r="P217" s="112"/>
      <c r="Q217" s="112"/>
      <c r="R217" s="19" t="s">
        <v>4406</v>
      </c>
      <c r="S217" s="19" t="s">
        <v>5232</v>
      </c>
      <c r="T217" s="115">
        <v>-800000</v>
      </c>
      <c r="U217" s="205" t="s">
        <v>4710</v>
      </c>
      <c r="V217" s="205">
        <v>-11795</v>
      </c>
      <c r="W217" s="111">
        <v>254.334</v>
      </c>
      <c r="X217" s="111">
        <f t="shared" si="52"/>
        <v>-2999869.5300000003</v>
      </c>
      <c r="Y217" s="97" t="s">
        <v>4711</v>
      </c>
      <c r="AB217" t="s">
        <v>25</v>
      </c>
      <c r="AI217" s="97">
        <v>197</v>
      </c>
      <c r="AJ217" s="111" t="s">
        <v>5237</v>
      </c>
      <c r="AK217" s="111">
        <v>-4700000</v>
      </c>
      <c r="AL217" s="97">
        <v>1</v>
      </c>
      <c r="AM217" s="20">
        <f t="shared" si="59"/>
        <v>648</v>
      </c>
      <c r="AN217" s="115">
        <f t="shared" si="60"/>
        <v>-3045600000</v>
      </c>
      <c r="AO217" s="20"/>
    </row>
    <row r="218" spans="7:47">
      <c r="G218" s="205" t="s">
        <v>5659</v>
      </c>
      <c r="H218" s="111">
        <v>34458590.308710001</v>
      </c>
      <c r="Q218" s="112"/>
      <c r="R218" s="205" t="s">
        <v>4406</v>
      </c>
      <c r="S218" s="205" t="s">
        <v>5314</v>
      </c>
      <c r="T218" s="115">
        <v>700000</v>
      </c>
      <c r="U218" s="205" t="s">
        <v>4710</v>
      </c>
      <c r="V218" s="205">
        <v>11795</v>
      </c>
      <c r="W218" s="111">
        <v>254.334</v>
      </c>
      <c r="X218" s="111">
        <f t="shared" si="52"/>
        <v>2999869.5300000003</v>
      </c>
      <c r="Y218" s="97" t="s">
        <v>4712</v>
      </c>
      <c r="AI218" s="97">
        <v>198</v>
      </c>
      <c r="AJ218" s="111" t="s">
        <v>5240</v>
      </c>
      <c r="AK218" s="111">
        <v>3000000</v>
      </c>
      <c r="AL218" s="97">
        <v>4</v>
      </c>
      <c r="AM218" s="20">
        <f t="shared" si="59"/>
        <v>647</v>
      </c>
      <c r="AN218" s="115">
        <f t="shared" si="60"/>
        <v>1941000000</v>
      </c>
      <c r="AO218" s="20"/>
      <c r="AT218" t="s">
        <v>25</v>
      </c>
    </row>
    <row r="219" spans="7:47">
      <c r="G219" s="205" t="s">
        <v>5661</v>
      </c>
      <c r="H219" s="111">
        <v>21697868.203256</v>
      </c>
      <c r="Q219" s="112"/>
      <c r="R219" s="187" t="s">
        <v>5330</v>
      </c>
      <c r="S219" s="187" t="s">
        <v>5328</v>
      </c>
      <c r="T219" s="186">
        <v>-26000000</v>
      </c>
      <c r="U219" s="205" t="s">
        <v>4724</v>
      </c>
      <c r="V219" s="205">
        <v>260</v>
      </c>
      <c r="W219" s="111">
        <v>263.19</v>
      </c>
      <c r="X219" s="111">
        <f t="shared" si="52"/>
        <v>68429.399999999994</v>
      </c>
      <c r="Y219" s="97" t="s">
        <v>452</v>
      </c>
      <c r="AI219" s="97">
        <v>199</v>
      </c>
      <c r="AJ219" s="111" t="s">
        <v>5242</v>
      </c>
      <c r="AK219" s="111">
        <v>1500000</v>
      </c>
      <c r="AL219" s="97">
        <v>1</v>
      </c>
      <c r="AM219" s="20">
        <f t="shared" si="59"/>
        <v>643</v>
      </c>
      <c r="AN219" s="115">
        <f t="shared" si="60"/>
        <v>964500000</v>
      </c>
      <c r="AO219" s="20"/>
    </row>
    <row r="220" spans="7:47">
      <c r="G220" s="205" t="s">
        <v>5663</v>
      </c>
      <c r="H220" s="111">
        <v>25340079.252110001</v>
      </c>
      <c r="Q220" s="112"/>
      <c r="R220" s="187" t="s">
        <v>5330</v>
      </c>
      <c r="S220" s="187" t="s">
        <v>5332</v>
      </c>
      <c r="T220" s="186">
        <v>-95900000</v>
      </c>
      <c r="U220" s="205" t="s">
        <v>4733</v>
      </c>
      <c r="V220" s="205">
        <v>15257</v>
      </c>
      <c r="W220" s="111">
        <v>262.19018</v>
      </c>
      <c r="X220" s="111">
        <f t="shared" si="52"/>
        <v>4000235.57626</v>
      </c>
      <c r="Y220" s="97" t="s">
        <v>452</v>
      </c>
      <c r="AI220" s="97">
        <v>200</v>
      </c>
      <c r="AJ220" s="111" t="s">
        <v>5244</v>
      </c>
      <c r="AK220" s="111">
        <v>30000000</v>
      </c>
      <c r="AL220" s="97">
        <v>33</v>
      </c>
      <c r="AM220" s="20">
        <f t="shared" si="59"/>
        <v>642</v>
      </c>
      <c r="AN220" s="115">
        <f t="shared" si="60"/>
        <v>19260000000</v>
      </c>
      <c r="AO220" s="20"/>
    </row>
    <row r="221" spans="7:47">
      <c r="G221" s="205" t="s">
        <v>5664</v>
      </c>
      <c r="H221" s="111">
        <v>14780983.183526</v>
      </c>
      <c r="P221" s="112"/>
      <c r="Q221" s="112"/>
      <c r="R221" s="187" t="s">
        <v>5330</v>
      </c>
      <c r="S221" s="187" t="s">
        <v>5333</v>
      </c>
      <c r="T221" s="186">
        <v>-28950000</v>
      </c>
      <c r="U221" s="205" t="s">
        <v>4733</v>
      </c>
      <c r="V221" s="205">
        <v>8444</v>
      </c>
      <c r="W221" s="111">
        <v>266.43029999999999</v>
      </c>
      <c r="X221" s="111">
        <f t="shared" si="52"/>
        <v>2249737.4531999999</v>
      </c>
      <c r="Y221" s="97" t="s">
        <v>452</v>
      </c>
      <c r="AI221" s="97">
        <v>201</v>
      </c>
      <c r="AJ221" s="111" t="s">
        <v>5318</v>
      </c>
      <c r="AK221" s="111">
        <v>3000000</v>
      </c>
      <c r="AL221" s="97">
        <v>1</v>
      </c>
      <c r="AM221" s="20">
        <f t="shared" si="59"/>
        <v>609</v>
      </c>
      <c r="AN221" s="115">
        <f t="shared" si="60"/>
        <v>1827000000</v>
      </c>
      <c r="AO221" s="20"/>
    </row>
    <row r="222" spans="7:47">
      <c r="G222" s="205" t="s">
        <v>5667</v>
      </c>
      <c r="H222" s="111">
        <v>17804396.448481999</v>
      </c>
      <c r="P222" s="112"/>
      <c r="Q222" s="112"/>
      <c r="R222" s="187" t="s">
        <v>5349</v>
      </c>
      <c r="S222" s="187" t="s">
        <v>5347</v>
      </c>
      <c r="T222" s="186">
        <v>1896188</v>
      </c>
      <c r="U222" s="342" t="s">
        <v>4738</v>
      </c>
      <c r="V222" s="342">
        <v>-6209</v>
      </c>
      <c r="W222" s="90">
        <v>273.79649999999998</v>
      </c>
      <c r="X222" s="90">
        <f t="shared" si="52"/>
        <v>-1700002.4685</v>
      </c>
      <c r="Y222" s="89" t="s">
        <v>6418</v>
      </c>
      <c r="AI222" s="97">
        <v>202</v>
      </c>
      <c r="AJ222" s="111" t="s">
        <v>5319</v>
      </c>
      <c r="AK222" s="111">
        <v>7000000</v>
      </c>
      <c r="AL222" s="97">
        <v>4</v>
      </c>
      <c r="AM222" s="20">
        <f t="shared" si="59"/>
        <v>608</v>
      </c>
      <c r="AN222" s="115">
        <f t="shared" si="60"/>
        <v>4256000000</v>
      </c>
      <c r="AO222" s="20"/>
    </row>
    <row r="223" spans="7:47">
      <c r="G223" s="205" t="s">
        <v>5670</v>
      </c>
      <c r="H223" s="111">
        <v>11538335.631417999</v>
      </c>
      <c r="P223" s="112"/>
      <c r="Q223" s="112"/>
      <c r="R223" s="187" t="s">
        <v>5514</v>
      </c>
      <c r="S223" s="187" t="s">
        <v>4209</v>
      </c>
      <c r="T223" s="186">
        <v>13752871.322800001</v>
      </c>
      <c r="U223" s="205" t="s">
        <v>4738</v>
      </c>
      <c r="V223" s="205">
        <v>-8014</v>
      </c>
      <c r="W223" s="111">
        <v>273.79649999999998</v>
      </c>
      <c r="X223" s="111">
        <f t="shared" si="52"/>
        <v>-2194205.1510000001</v>
      </c>
      <c r="Y223" s="97" t="s">
        <v>743</v>
      </c>
      <c r="AI223" s="97">
        <v>203</v>
      </c>
      <c r="AJ223" s="111" t="s">
        <v>5327</v>
      </c>
      <c r="AK223" s="111">
        <v>8800000</v>
      </c>
      <c r="AL223" s="97">
        <v>2</v>
      </c>
      <c r="AM223" s="20">
        <f t="shared" si="59"/>
        <v>604</v>
      </c>
      <c r="AN223" s="115">
        <f t="shared" si="60"/>
        <v>5315200000</v>
      </c>
      <c r="AO223" s="20"/>
    </row>
    <row r="224" spans="7:47" ht="28.5" customHeight="1">
      <c r="G224" s="205" t="s">
        <v>5671</v>
      </c>
      <c r="H224" s="111">
        <v>12429517.767776001</v>
      </c>
      <c r="P224" s="112"/>
      <c r="R224" s="19" t="s">
        <v>5526</v>
      </c>
      <c r="S224" s="19" t="s">
        <v>5523</v>
      </c>
      <c r="T224" s="115">
        <v>3123901.3702000002</v>
      </c>
      <c r="U224" s="205" t="s">
        <v>4747</v>
      </c>
      <c r="V224" s="205">
        <v>-9176</v>
      </c>
      <c r="W224" s="111">
        <v>273.79649999999998</v>
      </c>
      <c r="X224" s="111">
        <f t="shared" si="52"/>
        <v>-2512356.6839999999</v>
      </c>
      <c r="Y224" s="97" t="s">
        <v>452</v>
      </c>
      <c r="AI224" s="97">
        <v>204</v>
      </c>
      <c r="AJ224" s="111" t="s">
        <v>5332</v>
      </c>
      <c r="AK224" s="111">
        <v>40000000</v>
      </c>
      <c r="AL224" s="97">
        <v>8</v>
      </c>
      <c r="AM224" s="20">
        <f t="shared" si="59"/>
        <v>602</v>
      </c>
      <c r="AN224" s="115">
        <f t="shared" si="60"/>
        <v>24080000000</v>
      </c>
      <c r="AO224" s="20" t="s">
        <v>4669</v>
      </c>
    </row>
    <row r="225" spans="4:46">
      <c r="G225" s="205" t="s">
        <v>5679</v>
      </c>
      <c r="H225" s="111">
        <v>5031176.5087869996</v>
      </c>
      <c r="J225" t="s">
        <v>25</v>
      </c>
      <c r="P225" s="112"/>
      <c r="R225" s="187" t="s">
        <v>5842</v>
      </c>
      <c r="S225" s="187" t="s">
        <v>5597</v>
      </c>
      <c r="T225" s="186">
        <v>-322076.40905199997</v>
      </c>
      <c r="U225" s="205" t="s">
        <v>4747</v>
      </c>
      <c r="V225" s="205">
        <v>1087</v>
      </c>
      <c r="W225" s="111">
        <v>273.79649999999998</v>
      </c>
      <c r="X225" s="111">
        <f t="shared" si="52"/>
        <v>297616.79550000001</v>
      </c>
      <c r="Y225" s="97" t="s">
        <v>452</v>
      </c>
      <c r="AI225" s="97">
        <v>205</v>
      </c>
      <c r="AJ225" s="111" t="s">
        <v>5347</v>
      </c>
      <c r="AK225" s="111">
        <v>400000</v>
      </c>
      <c r="AL225" s="97">
        <v>17</v>
      </c>
      <c r="AM225" s="20">
        <f t="shared" si="59"/>
        <v>594</v>
      </c>
      <c r="AN225" s="115">
        <f t="shared" si="60"/>
        <v>237600000</v>
      </c>
      <c r="AO225" s="20"/>
      <c r="AS225" t="s">
        <v>25</v>
      </c>
    </row>
    <row r="226" spans="4:46">
      <c r="G226" s="205" t="s">
        <v>5681</v>
      </c>
      <c r="H226" s="111">
        <v>6822803.9080700008</v>
      </c>
      <c r="J226" t="s">
        <v>25</v>
      </c>
      <c r="P226" s="112"/>
      <c r="Q226" s="112"/>
      <c r="R226" s="19" t="s">
        <v>4930</v>
      </c>
      <c r="S226" s="19" t="s">
        <v>5597</v>
      </c>
      <c r="T226" s="115">
        <v>-1500000</v>
      </c>
      <c r="U226" s="342" t="s">
        <v>964</v>
      </c>
      <c r="V226" s="342">
        <v>-4017</v>
      </c>
      <c r="W226" s="90">
        <v>273.79649999999998</v>
      </c>
      <c r="X226" s="90">
        <f t="shared" si="52"/>
        <v>-1099840.5404999999</v>
      </c>
      <c r="Y226" s="89" t="s">
        <v>4406</v>
      </c>
      <c r="AI226" s="97">
        <v>206</v>
      </c>
      <c r="AJ226" s="111" t="s">
        <v>5367</v>
      </c>
      <c r="AK226" s="111">
        <v>-20000000</v>
      </c>
      <c r="AL226" s="97">
        <v>18</v>
      </c>
      <c r="AM226" s="20">
        <f t="shared" si="59"/>
        <v>577</v>
      </c>
      <c r="AN226" s="115">
        <f t="shared" si="60"/>
        <v>-11540000000</v>
      </c>
      <c r="AO226" s="20" t="s">
        <v>4955</v>
      </c>
    </row>
    <row r="227" spans="4:46">
      <c r="D227" s="94"/>
      <c r="E227" s="94"/>
      <c r="G227" s="205" t="s">
        <v>5685</v>
      </c>
      <c r="H227" s="111">
        <v>330889.73324399994</v>
      </c>
      <c r="P227" s="112"/>
      <c r="Q227" s="112"/>
      <c r="R227" s="187" t="s">
        <v>5611</v>
      </c>
      <c r="S227" s="187" t="s">
        <v>5597</v>
      </c>
      <c r="T227" s="186">
        <v>15000000</v>
      </c>
      <c r="U227" s="205" t="s">
        <v>964</v>
      </c>
      <c r="V227" s="205">
        <v>4017</v>
      </c>
      <c r="W227" s="111">
        <v>273.79649999999998</v>
      </c>
      <c r="X227" s="111">
        <f t="shared" si="52"/>
        <v>1099840.5404999999</v>
      </c>
      <c r="Y227" s="97" t="s">
        <v>452</v>
      </c>
      <c r="AI227" s="97">
        <v>207</v>
      </c>
      <c r="AJ227" s="111" t="s">
        <v>5381</v>
      </c>
      <c r="AK227" s="111">
        <v>3006000</v>
      </c>
      <c r="AL227" s="97">
        <v>19</v>
      </c>
      <c r="AM227" s="20">
        <f t="shared" si="59"/>
        <v>559</v>
      </c>
      <c r="AN227" s="115">
        <f t="shared" si="60"/>
        <v>1680354000</v>
      </c>
      <c r="AO227" s="20"/>
    </row>
    <row r="228" spans="4:46">
      <c r="D228" s="94"/>
      <c r="E228" s="94"/>
      <c r="G228" s="205" t="s">
        <v>5694</v>
      </c>
      <c r="H228" s="111">
        <v>6610318.1610199995</v>
      </c>
      <c r="P228" s="112"/>
      <c r="R228" s="187" t="s">
        <v>5626</v>
      </c>
      <c r="S228" s="187" t="s">
        <v>5621</v>
      </c>
      <c r="T228" s="186">
        <v>-1500000</v>
      </c>
      <c r="U228" s="205" t="s">
        <v>4753</v>
      </c>
      <c r="V228" s="205">
        <v>3137</v>
      </c>
      <c r="W228" s="111">
        <v>283.69110000000001</v>
      </c>
      <c r="X228" s="111">
        <f t="shared" si="52"/>
        <v>889938.98070000007</v>
      </c>
      <c r="Y228" s="97" t="s">
        <v>452</v>
      </c>
      <c r="Z228" t="s">
        <v>25</v>
      </c>
      <c r="AI228" s="97">
        <v>208</v>
      </c>
      <c r="AJ228" s="111" t="s">
        <v>5280</v>
      </c>
      <c r="AK228" s="111">
        <v>-130382924</v>
      </c>
      <c r="AL228" s="97">
        <v>0</v>
      </c>
      <c r="AM228" s="20">
        <f t="shared" si="59"/>
        <v>540</v>
      </c>
      <c r="AN228" s="115">
        <f t="shared" si="60"/>
        <v>-70406778960</v>
      </c>
      <c r="AO228" s="20" t="s">
        <v>5404</v>
      </c>
      <c r="AS228" t="s">
        <v>25</v>
      </c>
    </row>
    <row r="229" spans="4:46">
      <c r="D229" s="94"/>
      <c r="E229" s="94"/>
      <c r="F229" s="94"/>
      <c r="G229" s="205" t="s">
        <v>5695</v>
      </c>
      <c r="H229" s="111">
        <v>710713.17725199996</v>
      </c>
      <c r="P229" s="112"/>
      <c r="R229" s="187" t="s">
        <v>5705</v>
      </c>
      <c r="S229" s="187" t="s">
        <v>5703</v>
      </c>
      <c r="T229" s="186">
        <v>-70000</v>
      </c>
      <c r="U229" s="205" t="s">
        <v>4766</v>
      </c>
      <c r="V229" s="205">
        <v>101933</v>
      </c>
      <c r="W229" s="111">
        <v>294.30973999999998</v>
      </c>
      <c r="X229" s="111">
        <f t="shared" si="52"/>
        <v>29999874.727419998</v>
      </c>
      <c r="Y229" s="97" t="s">
        <v>1069</v>
      </c>
      <c r="Z229" t="s">
        <v>25</v>
      </c>
      <c r="AI229" s="97">
        <v>209</v>
      </c>
      <c r="AJ229" s="111" t="s">
        <v>5280</v>
      </c>
      <c r="AK229" s="111">
        <v>125000000</v>
      </c>
      <c r="AL229" s="97">
        <v>1</v>
      </c>
      <c r="AM229" s="20">
        <f t="shared" si="59"/>
        <v>540</v>
      </c>
      <c r="AN229" s="115">
        <f t="shared" si="60"/>
        <v>67500000000</v>
      </c>
      <c r="AO229" s="20"/>
      <c r="AS229" t="s">
        <v>25</v>
      </c>
    </row>
    <row r="230" spans="4:46">
      <c r="D230" s="94"/>
      <c r="E230" s="94"/>
      <c r="F230" s="94"/>
      <c r="G230" s="205" t="s">
        <v>5697</v>
      </c>
      <c r="H230" s="111">
        <v>81025</v>
      </c>
      <c r="R230" s="187" t="s">
        <v>5711</v>
      </c>
      <c r="S230" s="187" t="s">
        <v>5709</v>
      </c>
      <c r="T230" s="186">
        <v>1300000</v>
      </c>
      <c r="U230" s="205" t="s">
        <v>4773</v>
      </c>
      <c r="V230" s="205">
        <v>3407</v>
      </c>
      <c r="W230" s="111">
        <v>293.43799999999999</v>
      </c>
      <c r="X230" s="111">
        <f t="shared" si="52"/>
        <v>999743.26599999995</v>
      </c>
      <c r="Y230" s="97" t="s">
        <v>452</v>
      </c>
      <c r="AI230" s="97">
        <v>210</v>
      </c>
      <c r="AJ230" s="111" t="s">
        <v>5403</v>
      </c>
      <c r="AK230" s="111">
        <v>7200000</v>
      </c>
      <c r="AL230" s="97">
        <v>15</v>
      </c>
      <c r="AM230" s="20">
        <f t="shared" si="59"/>
        <v>539</v>
      </c>
      <c r="AN230" s="115">
        <f t="shared" si="60"/>
        <v>3880800000</v>
      </c>
      <c r="AO230" s="20"/>
      <c r="AR230" t="s">
        <v>25</v>
      </c>
      <c r="AT230" t="s">
        <v>25</v>
      </c>
    </row>
    <row r="231" spans="4:46">
      <c r="D231" s="94"/>
      <c r="E231" s="94"/>
      <c r="F231" s="94"/>
      <c r="G231" s="205" t="s">
        <v>5700</v>
      </c>
      <c r="H231" s="111">
        <v>219696.613128</v>
      </c>
      <c r="R231" s="187" t="s">
        <v>60</v>
      </c>
      <c r="S231" s="187" t="s">
        <v>5717</v>
      </c>
      <c r="T231" s="186">
        <v>90000000</v>
      </c>
      <c r="U231" s="205" t="s">
        <v>4774</v>
      </c>
      <c r="V231" s="205">
        <v>68796</v>
      </c>
      <c r="W231" s="111">
        <v>293.53250000000003</v>
      </c>
      <c r="X231" s="111">
        <f t="shared" si="52"/>
        <v>20193861.870000001</v>
      </c>
      <c r="Y231" s="97" t="s">
        <v>743</v>
      </c>
      <c r="AI231" s="97">
        <v>211</v>
      </c>
      <c r="AJ231" s="111" t="s">
        <v>5422</v>
      </c>
      <c r="AK231" s="111">
        <v>2050000</v>
      </c>
      <c r="AL231" s="97">
        <v>7</v>
      </c>
      <c r="AM231" s="20">
        <f t="shared" si="59"/>
        <v>524</v>
      </c>
      <c r="AN231" s="115">
        <f t="shared" si="60"/>
        <v>1074200000</v>
      </c>
      <c r="AO231" s="20"/>
      <c r="AS231" t="s">
        <v>25</v>
      </c>
      <c r="AT231" t="s">
        <v>25</v>
      </c>
    </row>
    <row r="232" spans="4:46">
      <c r="D232" s="94"/>
      <c r="E232" s="94"/>
      <c r="F232" s="94"/>
      <c r="G232" s="205" t="s">
        <v>5701</v>
      </c>
      <c r="H232" s="111">
        <v>6035472.4070199998</v>
      </c>
      <c r="P232" s="112"/>
      <c r="R232" s="187" t="s">
        <v>5802</v>
      </c>
      <c r="S232" s="187" t="s">
        <v>5798</v>
      </c>
      <c r="T232" s="186">
        <v>33832510.64875</v>
      </c>
      <c r="U232" s="205" t="s">
        <v>4774</v>
      </c>
      <c r="V232" s="205">
        <v>154791</v>
      </c>
      <c r="W232" s="111">
        <v>293.53250000000003</v>
      </c>
      <c r="X232" s="111">
        <f t="shared" si="52"/>
        <v>45436189.207500003</v>
      </c>
      <c r="Y232" s="97" t="s">
        <v>452</v>
      </c>
      <c r="AI232" s="97">
        <v>212</v>
      </c>
      <c r="AJ232" s="111" t="s">
        <v>5439</v>
      </c>
      <c r="AK232" s="111">
        <v>50000000</v>
      </c>
      <c r="AL232" s="97">
        <v>24</v>
      </c>
      <c r="AM232" s="20">
        <f t="shared" si="59"/>
        <v>517</v>
      </c>
      <c r="AN232" s="115">
        <f t="shared" si="60"/>
        <v>25850000000</v>
      </c>
      <c r="AO232" s="20" t="s">
        <v>4669</v>
      </c>
    </row>
    <row r="233" spans="4:46">
      <c r="D233" s="94"/>
      <c r="E233" s="94"/>
      <c r="F233" s="94"/>
      <c r="G233" s="205" t="s">
        <v>5702</v>
      </c>
      <c r="H233" s="111">
        <v>984486.34963200008</v>
      </c>
      <c r="P233" s="112"/>
      <c r="R233" s="187" t="s">
        <v>5817</v>
      </c>
      <c r="S233" s="187" t="s">
        <v>5814</v>
      </c>
      <c r="T233" s="186">
        <v>21634932</v>
      </c>
      <c r="U233" s="205" t="s">
        <v>4774</v>
      </c>
      <c r="V233" s="205">
        <v>-11923</v>
      </c>
      <c r="W233" s="111">
        <v>293.53250000000003</v>
      </c>
      <c r="X233" s="111">
        <f t="shared" si="52"/>
        <v>-3499787.9975000005</v>
      </c>
      <c r="Y233" s="97" t="s">
        <v>452</v>
      </c>
      <c r="AI233" s="97">
        <v>213</v>
      </c>
      <c r="AJ233" s="111" t="s">
        <v>5475</v>
      </c>
      <c r="AK233" s="111">
        <v>-58196600</v>
      </c>
      <c r="AL233" s="97">
        <v>22</v>
      </c>
      <c r="AM233" s="20">
        <f t="shared" si="59"/>
        <v>493</v>
      </c>
      <c r="AN233" s="115">
        <f t="shared" si="60"/>
        <v>-28690923800</v>
      </c>
      <c r="AO233" s="20" t="s">
        <v>4848</v>
      </c>
    </row>
    <row r="234" spans="4:46">
      <c r="F234" s="94"/>
      <c r="G234" s="205" t="s">
        <v>5703</v>
      </c>
      <c r="H234" s="111">
        <v>2143469.938015</v>
      </c>
      <c r="R234" s="187" t="s">
        <v>4726</v>
      </c>
      <c r="S234" s="187" t="s">
        <v>5814</v>
      </c>
      <c r="T234" s="186">
        <v>-22520813.151772</v>
      </c>
      <c r="U234" s="205" t="s">
        <v>4786</v>
      </c>
      <c r="V234" s="205">
        <v>8424</v>
      </c>
      <c r="W234" s="111">
        <v>299.15170000000001</v>
      </c>
      <c r="X234" s="111">
        <f t="shared" si="52"/>
        <v>2520053.9208</v>
      </c>
      <c r="Y234" s="97" t="s">
        <v>452</v>
      </c>
      <c r="AI234" s="97">
        <v>214</v>
      </c>
      <c r="AJ234" s="111" t="s">
        <v>5516</v>
      </c>
      <c r="AK234" s="111">
        <v>25000</v>
      </c>
      <c r="AL234" s="97">
        <v>8</v>
      </c>
      <c r="AM234" s="20">
        <f t="shared" si="59"/>
        <v>471</v>
      </c>
      <c r="AN234" s="115">
        <f t="shared" si="60"/>
        <v>11775000</v>
      </c>
      <c r="AO234" s="20"/>
    </row>
    <row r="235" spans="4:46">
      <c r="F235" s="94"/>
      <c r="G235" s="205" t="s">
        <v>5713</v>
      </c>
      <c r="H235" s="111">
        <v>3085460.5177150001</v>
      </c>
      <c r="R235" s="19" t="s">
        <v>6199</v>
      </c>
      <c r="S235" s="19" t="s">
        <v>6197</v>
      </c>
      <c r="T235" s="115">
        <v>-6000000</v>
      </c>
      <c r="U235" s="205" t="s">
        <v>4821</v>
      </c>
      <c r="V235" s="205">
        <v>15943</v>
      </c>
      <c r="W235" s="111">
        <v>307.34415000000001</v>
      </c>
      <c r="X235" s="111">
        <f t="shared" si="52"/>
        <v>4899987.78345</v>
      </c>
      <c r="Y235" s="97" t="s">
        <v>452</v>
      </c>
      <c r="AI235" s="97">
        <v>215</v>
      </c>
      <c r="AJ235" s="111" t="s">
        <v>5537</v>
      </c>
      <c r="AK235" s="111">
        <v>70000</v>
      </c>
      <c r="AL235" s="97">
        <v>6</v>
      </c>
      <c r="AM235" s="20">
        <f t="shared" si="59"/>
        <v>463</v>
      </c>
      <c r="AN235" s="115">
        <f t="shared" si="60"/>
        <v>32410000</v>
      </c>
      <c r="AO235" s="20"/>
    </row>
    <row r="236" spans="4:46">
      <c r="G236" s="205" t="s">
        <v>5714</v>
      </c>
      <c r="H236" s="111">
        <v>8261456.790906</v>
      </c>
      <c r="R236" s="187" t="s">
        <v>5365</v>
      </c>
      <c r="S236" s="187" t="s">
        <v>6274</v>
      </c>
      <c r="T236" s="186">
        <v>130888.351165</v>
      </c>
      <c r="U236" s="205" t="s">
        <v>4834</v>
      </c>
      <c r="V236" s="205">
        <v>3741</v>
      </c>
      <c r="W236" s="111">
        <v>307.34415000000001</v>
      </c>
      <c r="X236" s="111">
        <f t="shared" si="52"/>
        <v>1149774.4651500001</v>
      </c>
      <c r="Y236" s="97" t="s">
        <v>452</v>
      </c>
      <c r="AA236" t="s">
        <v>25</v>
      </c>
      <c r="AI236" s="97">
        <v>216</v>
      </c>
      <c r="AJ236" s="111" t="s">
        <v>5542</v>
      </c>
      <c r="AK236" s="111">
        <v>70000</v>
      </c>
      <c r="AL236" s="97">
        <v>1</v>
      </c>
      <c r="AM236" s="20">
        <f t="shared" si="59"/>
        <v>457</v>
      </c>
      <c r="AN236" s="115">
        <f t="shared" si="60"/>
        <v>31990000</v>
      </c>
      <c r="AO236" s="20"/>
      <c r="AS236" t="s">
        <v>25</v>
      </c>
    </row>
    <row r="237" spans="4:46">
      <c r="G237" s="205" t="s">
        <v>5715</v>
      </c>
      <c r="H237" s="111">
        <v>6572373.7593120001</v>
      </c>
      <c r="K237" t="s">
        <v>25</v>
      </c>
      <c r="R237" s="187" t="s">
        <v>6382</v>
      </c>
      <c r="S237" s="187" t="s">
        <v>6378</v>
      </c>
      <c r="T237" s="186">
        <v>50000000</v>
      </c>
      <c r="U237" s="205" t="s">
        <v>4839</v>
      </c>
      <c r="V237" s="205">
        <v>-6207</v>
      </c>
      <c r="W237" s="111">
        <v>322.214</v>
      </c>
      <c r="X237" s="111">
        <f t="shared" si="52"/>
        <v>-1999982.298</v>
      </c>
      <c r="Y237" s="97" t="s">
        <v>743</v>
      </c>
      <c r="AI237" s="97">
        <v>217</v>
      </c>
      <c r="AJ237" s="111" t="s">
        <v>5531</v>
      </c>
      <c r="AK237" s="111">
        <v>150000</v>
      </c>
      <c r="AL237" s="97">
        <v>0</v>
      </c>
      <c r="AM237" s="20">
        <f t="shared" si="59"/>
        <v>456</v>
      </c>
      <c r="AN237" s="115">
        <f t="shared" si="60"/>
        <v>68400000</v>
      </c>
      <c r="AO237" s="20"/>
      <c r="AR237" t="s">
        <v>25</v>
      </c>
      <c r="AT237" t="s">
        <v>25</v>
      </c>
    </row>
    <row r="238" spans="4:46">
      <c r="G238" s="205" t="s">
        <v>5719</v>
      </c>
      <c r="H238" s="111">
        <v>2893243.5730909999</v>
      </c>
      <c r="R238" s="19" t="s">
        <v>6407</v>
      </c>
      <c r="S238" s="19" t="s">
        <v>6406</v>
      </c>
      <c r="T238" s="115">
        <v>96000</v>
      </c>
      <c r="U238" s="205" t="s">
        <v>4839</v>
      </c>
      <c r="V238" s="205">
        <v>6207</v>
      </c>
      <c r="W238" s="111">
        <v>322.214</v>
      </c>
      <c r="X238" s="111">
        <f t="shared" si="52"/>
        <v>1999982.298</v>
      </c>
      <c r="Y238" s="97" t="s">
        <v>4406</v>
      </c>
      <c r="AI238" s="97">
        <v>218</v>
      </c>
      <c r="AJ238" s="111" t="s">
        <v>5531</v>
      </c>
      <c r="AK238" s="111">
        <v>-95599450</v>
      </c>
      <c r="AL238" s="97">
        <v>7</v>
      </c>
      <c r="AM238" s="20">
        <f t="shared" si="59"/>
        <v>456</v>
      </c>
      <c r="AN238" s="115">
        <f t="shared" si="60"/>
        <v>-43593349200</v>
      </c>
      <c r="AO238" s="20" t="s">
        <v>5545</v>
      </c>
      <c r="AS238" t="s">
        <v>25</v>
      </c>
    </row>
    <row r="239" spans="4:46">
      <c r="G239" s="205" t="s">
        <v>5720</v>
      </c>
      <c r="H239" s="111">
        <v>94992058.939007998</v>
      </c>
      <c r="J239" t="s">
        <v>25</v>
      </c>
      <c r="R239" s="187" t="s">
        <v>6829</v>
      </c>
      <c r="S239" s="187" t="s">
        <v>6826</v>
      </c>
      <c r="T239" s="186">
        <v>-40615000</v>
      </c>
      <c r="U239" s="205" t="s">
        <v>4793</v>
      </c>
      <c r="V239" s="205">
        <v>776</v>
      </c>
      <c r="W239" s="111">
        <v>322.214</v>
      </c>
      <c r="X239" s="111">
        <f t="shared" si="52"/>
        <v>250038.06400000001</v>
      </c>
      <c r="Y239" s="97" t="s">
        <v>452</v>
      </c>
      <c r="AI239" s="97">
        <v>219</v>
      </c>
      <c r="AJ239" s="111" t="s">
        <v>5553</v>
      </c>
      <c r="AK239" s="111">
        <v>200000</v>
      </c>
      <c r="AL239" s="97">
        <v>7</v>
      </c>
      <c r="AM239" s="20">
        <f t="shared" si="59"/>
        <v>449</v>
      </c>
      <c r="AN239" s="115">
        <f t="shared" si="60"/>
        <v>89800000</v>
      </c>
      <c r="AO239" s="20"/>
      <c r="AS239" t="s">
        <v>25</v>
      </c>
    </row>
    <row r="240" spans="4:46">
      <c r="G240" s="205" t="s">
        <v>5725</v>
      </c>
      <c r="H240" s="111">
        <v>275021.925965</v>
      </c>
      <c r="K240" t="s">
        <v>25</v>
      </c>
      <c r="R240" s="187" t="s">
        <v>6854</v>
      </c>
      <c r="S240" s="187" t="s">
        <v>6853</v>
      </c>
      <c r="T240" s="186">
        <v>7300000</v>
      </c>
      <c r="U240" s="205" t="s">
        <v>4861</v>
      </c>
      <c r="V240" s="205">
        <v>1524</v>
      </c>
      <c r="W240" s="111">
        <v>314.95999999999998</v>
      </c>
      <c r="X240" s="111">
        <f t="shared" si="52"/>
        <v>479999.04</v>
      </c>
      <c r="Y240" s="97" t="s">
        <v>1069</v>
      </c>
      <c r="AI240" s="97">
        <v>220</v>
      </c>
      <c r="AJ240" s="111" t="s">
        <v>5558</v>
      </c>
      <c r="AK240" s="111">
        <v>150000</v>
      </c>
      <c r="AL240" s="97">
        <v>5</v>
      </c>
      <c r="AM240" s="20">
        <f t="shared" si="59"/>
        <v>442</v>
      </c>
      <c r="AN240" s="115">
        <f t="shared" si="60"/>
        <v>66300000</v>
      </c>
      <c r="AO240" s="20"/>
    </row>
    <row r="241" spans="7:47">
      <c r="G241" s="205" t="s">
        <v>5730</v>
      </c>
      <c r="H241" s="111">
        <v>327451.9203</v>
      </c>
      <c r="R241" s="19" t="s">
        <v>6925</v>
      </c>
      <c r="S241" s="19" t="s">
        <v>6920</v>
      </c>
      <c r="T241" s="115">
        <v>-6128000</v>
      </c>
      <c r="U241" s="205" t="s">
        <v>4868</v>
      </c>
      <c r="V241" s="205">
        <v>4435</v>
      </c>
      <c r="W241" s="111">
        <v>316.4375</v>
      </c>
      <c r="X241" s="111">
        <f t="shared" si="52"/>
        <v>1403400.3125</v>
      </c>
      <c r="Y241" s="97" t="s">
        <v>452</v>
      </c>
      <c r="AI241" s="97">
        <v>221</v>
      </c>
      <c r="AJ241" s="111" t="s">
        <v>5561</v>
      </c>
      <c r="AK241" s="111">
        <v>310000</v>
      </c>
      <c r="AL241" s="97">
        <v>31</v>
      </c>
      <c r="AM241" s="20">
        <f t="shared" si="59"/>
        <v>437</v>
      </c>
      <c r="AN241" s="115">
        <f t="shared" si="60"/>
        <v>135470000</v>
      </c>
      <c r="AO241" s="20"/>
      <c r="AS241" t="s">
        <v>25</v>
      </c>
    </row>
    <row r="242" spans="7:47">
      <c r="G242" s="205" t="s">
        <v>5740</v>
      </c>
      <c r="H242" s="111">
        <v>260081.94096800001</v>
      </c>
      <c r="R242" s="19"/>
      <c r="S242" s="19"/>
      <c r="T242" s="115"/>
      <c r="U242" s="205" t="s">
        <v>4871</v>
      </c>
      <c r="V242" s="205">
        <v>624</v>
      </c>
      <c r="W242" s="111">
        <v>320.5</v>
      </c>
      <c r="X242" s="111">
        <f t="shared" si="52"/>
        <v>199992</v>
      </c>
      <c r="Y242" s="97" t="s">
        <v>452</v>
      </c>
      <c r="AI242" s="97">
        <v>222</v>
      </c>
      <c r="AJ242" s="111" t="s">
        <v>5597</v>
      </c>
      <c r="AK242" s="111">
        <v>4200000</v>
      </c>
      <c r="AL242" s="97">
        <v>53</v>
      </c>
      <c r="AM242" s="20">
        <f t="shared" si="59"/>
        <v>406</v>
      </c>
      <c r="AN242" s="115">
        <f t="shared" si="60"/>
        <v>1705200000</v>
      </c>
      <c r="AO242" s="20"/>
      <c r="AU242" s="94" t="s">
        <v>25</v>
      </c>
    </row>
    <row r="243" spans="7:47">
      <c r="G243" s="205" t="s">
        <v>5748</v>
      </c>
      <c r="H243" s="111">
        <v>2909284.5308940001</v>
      </c>
      <c r="R243" s="19"/>
      <c r="S243" s="19"/>
      <c r="T243" s="115"/>
      <c r="U243" s="205" t="s">
        <v>4876</v>
      </c>
      <c r="V243" s="205">
        <v>1086</v>
      </c>
      <c r="W243" s="111">
        <v>317.55</v>
      </c>
      <c r="X243" s="111">
        <f t="shared" si="52"/>
        <v>344859.3</v>
      </c>
      <c r="Y243" s="97" t="s">
        <v>452</v>
      </c>
      <c r="AI243" s="97">
        <v>223</v>
      </c>
      <c r="AJ243" s="111" t="s">
        <v>5667</v>
      </c>
      <c r="AK243" s="111">
        <v>260000000</v>
      </c>
      <c r="AL243" s="97">
        <v>22</v>
      </c>
      <c r="AM243" s="20">
        <f t="shared" si="59"/>
        <v>353</v>
      </c>
      <c r="AN243" s="115">
        <f t="shared" si="60"/>
        <v>91780000000</v>
      </c>
      <c r="AO243" s="20" t="s">
        <v>5668</v>
      </c>
    </row>
    <row r="244" spans="7:47">
      <c r="G244" s="205" t="s">
        <v>5749</v>
      </c>
      <c r="H244" s="111">
        <v>37723205.094084002</v>
      </c>
      <c r="P244" t="s">
        <v>25</v>
      </c>
      <c r="R244" s="19"/>
      <c r="S244" s="19"/>
      <c r="T244" s="115"/>
      <c r="U244" s="205" t="s">
        <v>4881</v>
      </c>
      <c r="V244" s="205">
        <v>2820</v>
      </c>
      <c r="W244" s="111">
        <v>319.1096</v>
      </c>
      <c r="X244" s="111">
        <f t="shared" si="52"/>
        <v>899889.07200000004</v>
      </c>
      <c r="Y244" s="97" t="s">
        <v>452</v>
      </c>
      <c r="AI244" s="97">
        <v>224</v>
      </c>
      <c r="AJ244" s="111" t="s">
        <v>5695</v>
      </c>
      <c r="AK244" s="111">
        <v>20000</v>
      </c>
      <c r="AL244" s="97">
        <v>7</v>
      </c>
      <c r="AM244" s="20">
        <f t="shared" si="59"/>
        <v>331</v>
      </c>
      <c r="AN244" s="115">
        <f t="shared" si="60"/>
        <v>6620000</v>
      </c>
      <c r="AO244" s="20"/>
      <c r="AQ244" t="s">
        <v>25</v>
      </c>
    </row>
    <row r="245" spans="7:47">
      <c r="G245" s="205" t="s">
        <v>5750</v>
      </c>
      <c r="H245" s="111">
        <v>1500094.75168</v>
      </c>
      <c r="R245" s="19"/>
      <c r="S245" s="19"/>
      <c r="T245" s="115"/>
      <c r="U245" s="205" t="s">
        <v>4884</v>
      </c>
      <c r="V245" s="205">
        <v>1145</v>
      </c>
      <c r="W245" s="111">
        <v>325.44</v>
      </c>
      <c r="X245" s="111">
        <f t="shared" si="52"/>
        <v>372628.8</v>
      </c>
      <c r="Y245" s="97" t="s">
        <v>452</v>
      </c>
      <c r="Z245" t="s">
        <v>25</v>
      </c>
      <c r="AI245" s="97">
        <v>225</v>
      </c>
      <c r="AJ245" s="111" t="s">
        <v>5703</v>
      </c>
      <c r="AK245" s="111">
        <v>70000</v>
      </c>
      <c r="AL245" s="97">
        <v>1</v>
      </c>
      <c r="AM245" s="20">
        <f t="shared" si="59"/>
        <v>324</v>
      </c>
      <c r="AN245" s="115">
        <f t="shared" si="60"/>
        <v>22680000</v>
      </c>
      <c r="AO245" s="20"/>
    </row>
    <row r="246" spans="7:47">
      <c r="G246" s="205" t="s">
        <v>5751</v>
      </c>
      <c r="H246" s="111">
        <v>7230628.4378079996</v>
      </c>
      <c r="J246" t="s">
        <v>25</v>
      </c>
      <c r="R246" s="205" t="s">
        <v>25</v>
      </c>
      <c r="S246" s="205"/>
      <c r="T246" s="111"/>
      <c r="U246" s="205" t="s">
        <v>4892</v>
      </c>
      <c r="V246" s="205">
        <v>20153</v>
      </c>
      <c r="W246" s="111">
        <v>322</v>
      </c>
      <c r="X246" s="111">
        <f t="shared" si="52"/>
        <v>6489266</v>
      </c>
      <c r="Y246" s="97" t="s">
        <v>452</v>
      </c>
      <c r="AI246" s="97">
        <v>226</v>
      </c>
      <c r="AJ246" s="111" t="s">
        <v>5709</v>
      </c>
      <c r="AK246" s="111">
        <v>330000</v>
      </c>
      <c r="AL246" s="97">
        <v>1</v>
      </c>
      <c r="AM246" s="20">
        <f t="shared" si="59"/>
        <v>323</v>
      </c>
      <c r="AN246" s="115">
        <f t="shared" si="60"/>
        <v>106590000</v>
      </c>
      <c r="AO246" s="20"/>
    </row>
    <row r="247" spans="7:47">
      <c r="G247" s="205" t="s">
        <v>5753</v>
      </c>
      <c r="H247" s="111">
        <v>29767389.390390001</v>
      </c>
      <c r="R247" s="205"/>
      <c r="S247" s="205"/>
      <c r="T247" s="111">
        <f>SUM(T196:T246)</f>
        <v>121509957.13209102</v>
      </c>
      <c r="U247" s="205" t="s">
        <v>4902</v>
      </c>
      <c r="V247" s="205">
        <v>93720</v>
      </c>
      <c r="W247" s="111">
        <v>325.435</v>
      </c>
      <c r="X247" s="111">
        <f t="shared" si="52"/>
        <v>30499768.199999999</v>
      </c>
      <c r="Y247" s="97" t="s">
        <v>1069</v>
      </c>
      <c r="AI247" s="97">
        <v>227</v>
      </c>
      <c r="AJ247" s="111" t="s">
        <v>5798</v>
      </c>
      <c r="AK247" s="111">
        <v>33833075</v>
      </c>
      <c r="AL247" s="97">
        <v>18</v>
      </c>
      <c r="AM247" s="20">
        <f t="shared" si="59"/>
        <v>322</v>
      </c>
      <c r="AN247" s="115">
        <f t="shared" si="60"/>
        <v>10894250150</v>
      </c>
      <c r="AO247" s="20" t="s">
        <v>5802</v>
      </c>
    </row>
    <row r="248" spans="7:47">
      <c r="G248" s="205" t="s">
        <v>5755</v>
      </c>
      <c r="H248" s="111">
        <v>151560.25597</v>
      </c>
      <c r="R248" s="41"/>
      <c r="S248" s="205"/>
      <c r="T248" s="205" t="s">
        <v>6</v>
      </c>
      <c r="U248" s="205" t="s">
        <v>4902</v>
      </c>
      <c r="V248" s="205">
        <v>20895</v>
      </c>
      <c r="W248" s="111">
        <v>325.435</v>
      </c>
      <c r="X248" s="111">
        <f t="shared" si="52"/>
        <v>6799964.3250000002</v>
      </c>
      <c r="Y248" s="97" t="s">
        <v>743</v>
      </c>
      <c r="AI248" s="97">
        <v>228</v>
      </c>
      <c r="AJ248" s="111" t="s">
        <v>5809</v>
      </c>
      <c r="AK248" s="111">
        <v>150000</v>
      </c>
      <c r="AL248" s="97">
        <v>10</v>
      </c>
      <c r="AM248" s="20">
        <f t="shared" si="59"/>
        <v>304</v>
      </c>
      <c r="AN248" s="115"/>
      <c r="AO248" s="20"/>
    </row>
    <row r="249" spans="7:47">
      <c r="G249" s="205" t="s">
        <v>5756</v>
      </c>
      <c r="H249" s="111">
        <v>481318.88078800001</v>
      </c>
      <c r="J249" t="s">
        <v>25</v>
      </c>
      <c r="R249" s="94"/>
      <c r="U249" s="205" t="s">
        <v>4909</v>
      </c>
      <c r="V249" s="205">
        <v>2611</v>
      </c>
      <c r="W249" s="111">
        <v>325.435</v>
      </c>
      <c r="X249" s="111">
        <f t="shared" si="52"/>
        <v>849710.78500000003</v>
      </c>
      <c r="Y249" s="97" t="s">
        <v>743</v>
      </c>
      <c r="AI249" s="97">
        <v>229</v>
      </c>
      <c r="AJ249" s="111" t="s">
        <v>5814</v>
      </c>
      <c r="AK249" s="111">
        <v>-341847876.93843603</v>
      </c>
      <c r="AL249" s="97">
        <v>1</v>
      </c>
      <c r="AM249" s="20">
        <f t="shared" si="59"/>
        <v>294</v>
      </c>
      <c r="AN249" s="115"/>
      <c r="AO249" s="20" t="s">
        <v>4726</v>
      </c>
      <c r="AQ249" t="s">
        <v>25</v>
      </c>
    </row>
    <row r="250" spans="7:47" ht="20.25" customHeight="1">
      <c r="G250" s="205" t="s">
        <v>5759</v>
      </c>
      <c r="H250" s="111">
        <v>146277.56820000001</v>
      </c>
      <c r="O250" t="s">
        <v>25</v>
      </c>
      <c r="P250" t="s">
        <v>25</v>
      </c>
      <c r="R250" s="94" t="s">
        <v>25</v>
      </c>
      <c r="S250" s="94" t="s">
        <v>25</v>
      </c>
      <c r="U250" s="205" t="s">
        <v>4917</v>
      </c>
      <c r="V250" s="205">
        <v>6750</v>
      </c>
      <c r="W250" s="111">
        <v>339.3</v>
      </c>
      <c r="X250" s="111">
        <f t="shared" si="52"/>
        <v>2290275</v>
      </c>
      <c r="Y250" s="97" t="s">
        <v>743</v>
      </c>
      <c r="AB250" t="s">
        <v>25</v>
      </c>
      <c r="AI250" s="97">
        <v>230</v>
      </c>
      <c r="AJ250" s="111" t="s">
        <v>5825</v>
      </c>
      <c r="AK250" s="111">
        <v>100000000</v>
      </c>
      <c r="AL250" s="97">
        <v>0</v>
      </c>
      <c r="AM250" s="20">
        <f t="shared" si="59"/>
        <v>293</v>
      </c>
      <c r="AN250" s="115"/>
      <c r="AO250" s="20" t="s">
        <v>5826</v>
      </c>
    </row>
    <row r="251" spans="7:47" ht="30">
      <c r="G251" s="205" t="s">
        <v>5771</v>
      </c>
      <c r="H251" s="111">
        <v>424693.40162399999</v>
      </c>
      <c r="J251" t="s">
        <v>25</v>
      </c>
      <c r="R251" s="94" t="s">
        <v>25</v>
      </c>
      <c r="S251" s="94" t="s">
        <v>25</v>
      </c>
      <c r="T251" t="s">
        <v>25</v>
      </c>
      <c r="U251" s="205" t="s">
        <v>4925</v>
      </c>
      <c r="V251" s="205">
        <v>1850</v>
      </c>
      <c r="W251" s="111">
        <v>334.10050000000001</v>
      </c>
      <c r="X251" s="111">
        <f t="shared" si="52"/>
        <v>618085.92500000005</v>
      </c>
      <c r="Y251" s="97" t="s">
        <v>452</v>
      </c>
      <c r="Z251" t="s">
        <v>25</v>
      </c>
      <c r="AI251" s="97">
        <v>231</v>
      </c>
      <c r="AJ251" s="111" t="s">
        <v>5825</v>
      </c>
      <c r="AK251" s="111">
        <v>-100000000</v>
      </c>
      <c r="AL251" s="97">
        <v>1</v>
      </c>
      <c r="AM251" s="20">
        <f t="shared" si="59"/>
        <v>293</v>
      </c>
      <c r="AN251" s="115"/>
      <c r="AO251" s="259" t="s">
        <v>5827</v>
      </c>
    </row>
    <row r="252" spans="7:47">
      <c r="G252" s="205" t="s">
        <v>5774</v>
      </c>
      <c r="H252" s="111">
        <v>558320.40202399995</v>
      </c>
      <c r="J252" t="s">
        <v>25</v>
      </c>
      <c r="T252" t="s">
        <v>25</v>
      </c>
      <c r="U252" s="205" t="s">
        <v>4925</v>
      </c>
      <c r="V252" s="205">
        <v>-1194</v>
      </c>
      <c r="W252" s="111">
        <v>335</v>
      </c>
      <c r="X252" s="111">
        <f t="shared" si="52"/>
        <v>-399990</v>
      </c>
      <c r="Y252" s="97" t="s">
        <v>4406</v>
      </c>
      <c r="Z252" t="s">
        <v>25</v>
      </c>
      <c r="AI252" s="97">
        <v>232</v>
      </c>
      <c r="AJ252" s="111" t="s">
        <v>5828</v>
      </c>
      <c r="AK252" s="111">
        <v>90000000</v>
      </c>
      <c r="AL252" s="97">
        <v>0</v>
      </c>
      <c r="AM252" s="20">
        <f t="shared" si="59"/>
        <v>292</v>
      </c>
      <c r="AN252" s="115"/>
      <c r="AO252" s="20"/>
    </row>
    <row r="253" spans="7:47" ht="30">
      <c r="G253" s="205" t="s">
        <v>5776</v>
      </c>
      <c r="H253" s="111">
        <v>207642.22201140001</v>
      </c>
      <c r="J253" t="s">
        <v>25</v>
      </c>
      <c r="O253" t="s">
        <v>25</v>
      </c>
      <c r="R253" s="97" t="s">
        <v>743</v>
      </c>
      <c r="S253" s="97"/>
      <c r="T253" t="s">
        <v>25</v>
      </c>
      <c r="U253" s="205" t="s">
        <v>4925</v>
      </c>
      <c r="V253" s="205">
        <v>1194</v>
      </c>
      <c r="W253" s="111">
        <v>335</v>
      </c>
      <c r="X253" s="111">
        <f t="shared" si="52"/>
        <v>399990</v>
      </c>
      <c r="Y253" s="97" t="s">
        <v>743</v>
      </c>
      <c r="AI253" s="97">
        <v>233</v>
      </c>
      <c r="AJ253" s="111" t="s">
        <v>5828</v>
      </c>
      <c r="AK253" s="111">
        <v>-90000000</v>
      </c>
      <c r="AL253" s="97">
        <v>1</v>
      </c>
      <c r="AM253" s="20">
        <f t="shared" si="59"/>
        <v>292</v>
      </c>
      <c r="AN253" s="115"/>
      <c r="AO253" s="259" t="s">
        <v>5829</v>
      </c>
      <c r="AR253" t="s">
        <v>25</v>
      </c>
      <c r="AT253" t="s">
        <v>25</v>
      </c>
    </row>
    <row r="254" spans="7:47">
      <c r="G254" s="277" t="s">
        <v>5807</v>
      </c>
      <c r="H254" s="88">
        <v>637977.33504399995</v>
      </c>
      <c r="R254" s="97" t="s">
        <v>4399</v>
      </c>
      <c r="S254" s="93">
        <v>172908000</v>
      </c>
      <c r="T254" t="s">
        <v>25</v>
      </c>
      <c r="U254" s="205" t="s">
        <v>4932</v>
      </c>
      <c r="V254" s="205">
        <v>433</v>
      </c>
      <c r="W254" s="111">
        <v>345.68</v>
      </c>
      <c r="X254" s="111">
        <f t="shared" si="52"/>
        <v>149679.44</v>
      </c>
      <c r="Y254" s="97" t="s">
        <v>743</v>
      </c>
      <c r="AI254" s="97">
        <v>234</v>
      </c>
      <c r="AJ254" s="111" t="s">
        <v>5830</v>
      </c>
      <c r="AK254" s="111">
        <v>30000000</v>
      </c>
      <c r="AL254" s="97">
        <v>0</v>
      </c>
      <c r="AM254" s="20">
        <f t="shared" si="59"/>
        <v>291</v>
      </c>
      <c r="AN254" s="115"/>
      <c r="AO254" s="259"/>
    </row>
    <row r="255" spans="7:47" ht="30">
      <c r="G255" s="205" t="s">
        <v>5808</v>
      </c>
      <c r="H255" s="111">
        <v>466552.25632400002</v>
      </c>
      <c r="R255" s="97" t="s">
        <v>4430</v>
      </c>
      <c r="S255" s="93">
        <v>1400000</v>
      </c>
      <c r="U255" s="205" t="s">
        <v>4936</v>
      </c>
      <c r="V255" s="205">
        <v>55459</v>
      </c>
      <c r="W255" s="111">
        <v>362.51978000000003</v>
      </c>
      <c r="X255" s="111">
        <f t="shared" si="52"/>
        <v>20104984.479020003</v>
      </c>
      <c r="Y255" s="97" t="s">
        <v>452</v>
      </c>
      <c r="AI255" s="97">
        <v>235</v>
      </c>
      <c r="AJ255" s="111" t="s">
        <v>5830</v>
      </c>
      <c r="AK255" s="111">
        <v>-30000000</v>
      </c>
      <c r="AL255" s="97">
        <v>3</v>
      </c>
      <c r="AM255" s="20">
        <f t="shared" si="59"/>
        <v>291</v>
      </c>
      <c r="AN255" s="115"/>
      <c r="AO255" s="259" t="s">
        <v>5831</v>
      </c>
    </row>
    <row r="256" spans="7:47">
      <c r="G256" s="205" t="s">
        <v>5809</v>
      </c>
      <c r="H256" s="111">
        <v>189134.85153000001</v>
      </c>
      <c r="J256" t="s">
        <v>25</v>
      </c>
      <c r="O256" t="s">
        <v>25</v>
      </c>
      <c r="R256" s="97" t="s">
        <v>4205</v>
      </c>
      <c r="S256" s="93">
        <v>247393</v>
      </c>
      <c r="T256" t="s">
        <v>25</v>
      </c>
      <c r="U256" s="205" t="s">
        <v>4940</v>
      </c>
      <c r="V256" s="205">
        <v>-57212</v>
      </c>
      <c r="W256" s="111">
        <v>368.45400000000001</v>
      </c>
      <c r="X256" s="111">
        <f t="shared" si="52"/>
        <v>-21079990.248</v>
      </c>
      <c r="Y256" s="97" t="s">
        <v>452</v>
      </c>
      <c r="AI256" s="97">
        <v>236</v>
      </c>
      <c r="AJ256" s="111" t="s">
        <v>5837</v>
      </c>
      <c r="AK256" s="111">
        <v>50000000</v>
      </c>
      <c r="AL256" s="97">
        <v>1</v>
      </c>
      <c r="AM256" s="20">
        <f t="shared" si="59"/>
        <v>288</v>
      </c>
      <c r="AN256" s="115"/>
      <c r="AO256" s="259"/>
    </row>
    <row r="257" spans="7:46" ht="30">
      <c r="G257" s="205" t="s">
        <v>5811</v>
      </c>
      <c r="H257" s="111">
        <v>564888.82799599995</v>
      </c>
      <c r="P257" t="s">
        <v>25</v>
      </c>
      <c r="R257" s="97" t="s">
        <v>4204</v>
      </c>
      <c r="S257" s="93">
        <v>6780000</v>
      </c>
      <c r="U257" s="205" t="s">
        <v>4941</v>
      </c>
      <c r="V257" s="205">
        <v>-15881</v>
      </c>
      <c r="W257" s="111">
        <v>374.61599999999999</v>
      </c>
      <c r="X257" s="111">
        <f t="shared" si="52"/>
        <v>-5949276.6959999995</v>
      </c>
      <c r="Y257" s="97" t="s">
        <v>452</v>
      </c>
      <c r="AI257" s="97">
        <v>237</v>
      </c>
      <c r="AJ257" s="111" t="s">
        <v>5838</v>
      </c>
      <c r="AK257" s="111">
        <v>-50000000</v>
      </c>
      <c r="AL257" s="97">
        <v>5</v>
      </c>
      <c r="AM257" s="20">
        <f t="shared" si="59"/>
        <v>287</v>
      </c>
      <c r="AN257" s="115"/>
      <c r="AO257" s="259" t="s">
        <v>5839</v>
      </c>
      <c r="AQ257" t="s">
        <v>25</v>
      </c>
    </row>
    <row r="258" spans="7:46">
      <c r="G258" s="205" t="s">
        <v>5837</v>
      </c>
      <c r="H258" s="111">
        <v>259993.58394100002</v>
      </c>
      <c r="J258" t="s">
        <v>25</v>
      </c>
      <c r="R258" s="97" t="s">
        <v>4528</v>
      </c>
      <c r="S258" s="93">
        <v>-4000000</v>
      </c>
      <c r="U258" s="205" t="s">
        <v>4947</v>
      </c>
      <c r="V258" s="205">
        <v>-41289</v>
      </c>
      <c r="W258" s="111">
        <v>372.27</v>
      </c>
      <c r="X258" s="111">
        <f t="shared" si="52"/>
        <v>-15370656.029999999</v>
      </c>
      <c r="Y258" s="97" t="s">
        <v>452</v>
      </c>
      <c r="AI258" s="97">
        <v>238</v>
      </c>
      <c r="AJ258" s="111" t="s">
        <v>6184</v>
      </c>
      <c r="AK258" s="111">
        <v>10000</v>
      </c>
      <c r="AL258" s="97">
        <v>1</v>
      </c>
      <c r="AM258" s="20">
        <f t="shared" si="59"/>
        <v>282</v>
      </c>
      <c r="AN258" s="115"/>
      <c r="AO258" s="259"/>
    </row>
    <row r="259" spans="7:46" ht="15" customHeight="1">
      <c r="G259" s="205" t="s">
        <v>5838</v>
      </c>
      <c r="H259" s="111">
        <v>269955.31205999997</v>
      </c>
      <c r="R259" s="97" t="s">
        <v>4553</v>
      </c>
      <c r="S259" s="93">
        <v>16727037</v>
      </c>
      <c r="U259" s="205" t="s">
        <v>4953</v>
      </c>
      <c r="V259" s="205">
        <v>13563</v>
      </c>
      <c r="W259" s="111">
        <v>365.69799999999998</v>
      </c>
      <c r="X259" s="111">
        <f t="shared" si="52"/>
        <v>4959961.9739999995</v>
      </c>
      <c r="Y259" s="97" t="s">
        <v>452</v>
      </c>
      <c r="AI259" s="97">
        <v>239</v>
      </c>
      <c r="AJ259" s="111" t="s">
        <v>6187</v>
      </c>
      <c r="AK259" s="111">
        <v>50000000</v>
      </c>
      <c r="AL259" s="97">
        <v>43</v>
      </c>
      <c r="AM259" s="20">
        <f t="shared" si="59"/>
        <v>281</v>
      </c>
      <c r="AN259" s="115"/>
      <c r="AO259" s="259" t="s">
        <v>5335</v>
      </c>
    </row>
    <row r="260" spans="7:46">
      <c r="G260" s="205" t="s">
        <v>6193</v>
      </c>
      <c r="H260" s="111">
        <v>560534.38387200003</v>
      </c>
      <c r="P260" t="s">
        <v>25</v>
      </c>
      <c r="R260" s="97" t="s">
        <v>4558</v>
      </c>
      <c r="S260" s="93">
        <v>46460683</v>
      </c>
      <c r="T260" t="s">
        <v>25</v>
      </c>
      <c r="U260" s="205" t="s">
        <v>4953</v>
      </c>
      <c r="V260" s="205">
        <v>27344</v>
      </c>
      <c r="W260" s="111">
        <v>365.69799999999998</v>
      </c>
      <c r="X260" s="111">
        <f t="shared" si="52"/>
        <v>9999646.1119999997</v>
      </c>
      <c r="Y260" s="97" t="s">
        <v>452</v>
      </c>
      <c r="AI260" s="97">
        <v>240</v>
      </c>
      <c r="AJ260" s="111" t="s">
        <v>6232</v>
      </c>
      <c r="AK260" s="111">
        <v>50000000</v>
      </c>
      <c r="AL260" s="97">
        <v>10</v>
      </c>
      <c r="AM260" s="20">
        <f t="shared" si="59"/>
        <v>238</v>
      </c>
      <c r="AN260" s="115"/>
      <c r="AO260" s="259" t="s">
        <v>6233</v>
      </c>
    </row>
    <row r="261" spans="7:46" ht="30">
      <c r="G261" s="205" t="s">
        <v>6195</v>
      </c>
      <c r="H261" s="111">
        <v>581484.96802499995</v>
      </c>
      <c r="R261" s="97" t="s">
        <v>4559</v>
      </c>
      <c r="S261" s="93">
        <v>19663646</v>
      </c>
      <c r="U261" s="205" t="s">
        <v>4960</v>
      </c>
      <c r="V261" s="205">
        <v>-103145</v>
      </c>
      <c r="W261" s="111">
        <v>393.334</v>
      </c>
      <c r="X261" s="111">
        <f t="shared" si="52"/>
        <v>-40570435.43</v>
      </c>
      <c r="Y261" s="36" t="s">
        <v>4965</v>
      </c>
      <c r="AI261" s="97">
        <v>241</v>
      </c>
      <c r="AJ261" s="111" t="s">
        <v>6234</v>
      </c>
      <c r="AK261" s="111">
        <v>8200000</v>
      </c>
      <c r="AL261" s="97">
        <v>29</v>
      </c>
      <c r="AM261" s="20">
        <f t="shared" si="59"/>
        <v>228</v>
      </c>
      <c r="AN261" s="115"/>
      <c r="AO261" s="259" t="s">
        <v>6233</v>
      </c>
      <c r="AS261" t="s">
        <v>25</v>
      </c>
      <c r="AT261" t="s">
        <v>25</v>
      </c>
    </row>
    <row r="262" spans="7:46">
      <c r="G262" s="205" t="s">
        <v>6197</v>
      </c>
      <c r="H262" s="111">
        <v>2136964.3409779998</v>
      </c>
      <c r="J262" t="s">
        <v>25</v>
      </c>
      <c r="R262" s="97" t="s">
        <v>4580</v>
      </c>
      <c r="S262" s="93">
        <v>4374525</v>
      </c>
      <c r="U262" s="205" t="s">
        <v>4960</v>
      </c>
      <c r="V262" s="205">
        <v>-369</v>
      </c>
      <c r="W262" s="111">
        <v>393.334</v>
      </c>
      <c r="X262" s="111">
        <f t="shared" si="52"/>
        <v>-145140.24600000001</v>
      </c>
      <c r="Y262" s="36" t="s">
        <v>5037</v>
      </c>
      <c r="AI262" s="97">
        <v>242</v>
      </c>
      <c r="AJ262" s="111" t="s">
        <v>6269</v>
      </c>
      <c r="AK262" s="111">
        <v>-180000000</v>
      </c>
      <c r="AL262" s="97">
        <v>16</v>
      </c>
      <c r="AM262" s="20">
        <f t="shared" si="59"/>
        <v>199</v>
      </c>
      <c r="AN262" s="115"/>
      <c r="AO262" s="259" t="s">
        <v>6273</v>
      </c>
    </row>
    <row r="263" spans="7:46" ht="17.25" customHeight="1">
      <c r="G263" s="205" t="s">
        <v>6200</v>
      </c>
      <c r="H263" s="111">
        <v>593783.22629999998</v>
      </c>
      <c r="J263" t="s">
        <v>25</v>
      </c>
      <c r="R263" s="97" t="s">
        <v>4591</v>
      </c>
      <c r="S263" s="93">
        <v>6550580</v>
      </c>
      <c r="U263" s="205" t="s">
        <v>4960</v>
      </c>
      <c r="V263" s="205">
        <v>-889</v>
      </c>
      <c r="W263" s="111">
        <v>393.334</v>
      </c>
      <c r="X263" s="111">
        <f t="shared" si="52"/>
        <v>-349673.92599999998</v>
      </c>
      <c r="Y263" s="36" t="s">
        <v>5038</v>
      </c>
      <c r="AI263" s="97">
        <v>243</v>
      </c>
      <c r="AJ263" s="111" t="s">
        <v>6378</v>
      </c>
      <c r="AK263" s="111">
        <v>60000000</v>
      </c>
      <c r="AL263" s="97">
        <v>6</v>
      </c>
      <c r="AM263" s="20">
        <f t="shared" si="59"/>
        <v>183</v>
      </c>
      <c r="AN263" s="115"/>
      <c r="AO263" s="259" t="s">
        <v>6379</v>
      </c>
      <c r="AT263" t="s">
        <v>25</v>
      </c>
    </row>
    <row r="264" spans="7:46">
      <c r="G264" s="205" t="s">
        <v>6204</v>
      </c>
      <c r="H264" s="111">
        <v>469469.96222000004</v>
      </c>
      <c r="J264" t="s">
        <v>25</v>
      </c>
      <c r="K264" t="s">
        <v>25</v>
      </c>
      <c r="P264" t="s">
        <v>25</v>
      </c>
      <c r="R264" s="97" t="s">
        <v>4593</v>
      </c>
      <c r="S264" s="93">
        <v>6650895</v>
      </c>
      <c r="U264" s="205" t="s">
        <v>4969</v>
      </c>
      <c r="V264" s="205">
        <v>2546</v>
      </c>
      <c r="W264" s="111">
        <v>393</v>
      </c>
      <c r="X264" s="111">
        <f t="shared" si="52"/>
        <v>1000578</v>
      </c>
      <c r="Y264" s="36" t="s">
        <v>452</v>
      </c>
      <c r="AI264" s="97">
        <v>244</v>
      </c>
      <c r="AJ264" s="111" t="s">
        <v>6387</v>
      </c>
      <c r="AK264" s="111">
        <v>5000</v>
      </c>
      <c r="AL264" s="97">
        <v>8</v>
      </c>
      <c r="AM264" s="20">
        <f t="shared" si="59"/>
        <v>177</v>
      </c>
      <c r="AN264" s="115"/>
      <c r="AO264" s="259" t="s">
        <v>6233</v>
      </c>
    </row>
    <row r="265" spans="7:46">
      <c r="G265" s="205" t="s">
        <v>6235</v>
      </c>
      <c r="H265" s="111">
        <v>15777944</v>
      </c>
      <c r="R265" s="97" t="s">
        <v>4606</v>
      </c>
      <c r="S265" s="93">
        <v>2145814</v>
      </c>
      <c r="U265" s="205" t="s">
        <v>4970</v>
      </c>
      <c r="V265" s="205">
        <v>1034</v>
      </c>
      <c r="W265" s="111">
        <v>386.608</v>
      </c>
      <c r="X265" s="111">
        <f t="shared" si="52"/>
        <v>399752.67200000002</v>
      </c>
      <c r="Y265" s="36" t="s">
        <v>452</v>
      </c>
      <c r="AI265" s="97">
        <v>245</v>
      </c>
      <c r="AJ265" s="111" t="s">
        <v>6392</v>
      </c>
      <c r="AK265" s="111">
        <v>102750000</v>
      </c>
      <c r="AL265" s="97">
        <v>5</v>
      </c>
      <c r="AM265" s="20">
        <f t="shared" si="59"/>
        <v>169</v>
      </c>
      <c r="AN265" s="115"/>
      <c r="AO265" s="259"/>
    </row>
    <row r="266" spans="7:46" ht="30">
      <c r="G266" s="205" t="s">
        <v>6242</v>
      </c>
      <c r="H266" s="111">
        <v>3585319.2317280001</v>
      </c>
      <c r="J266" t="s">
        <v>25</v>
      </c>
      <c r="K266" t="s">
        <v>25</v>
      </c>
      <c r="R266" s="97" t="s">
        <v>4617</v>
      </c>
      <c r="S266" s="93">
        <v>4369730</v>
      </c>
      <c r="U266" s="205" t="s">
        <v>4977</v>
      </c>
      <c r="V266" s="205">
        <v>300</v>
      </c>
      <c r="W266" s="111">
        <v>400</v>
      </c>
      <c r="X266" s="111">
        <f t="shared" si="52"/>
        <v>120000</v>
      </c>
      <c r="Y266" s="36" t="s">
        <v>452</v>
      </c>
      <c r="AI266" s="97">
        <v>246</v>
      </c>
      <c r="AJ266" s="111" t="s">
        <v>6399</v>
      </c>
      <c r="AK266" s="111">
        <v>-60000000</v>
      </c>
      <c r="AL266" s="97">
        <v>42</v>
      </c>
      <c r="AM266" s="20">
        <f t="shared" si="59"/>
        <v>164</v>
      </c>
      <c r="AN266" s="115"/>
      <c r="AO266" s="259" t="s">
        <v>6404</v>
      </c>
    </row>
    <row r="267" spans="7:46" ht="20.25" customHeight="1">
      <c r="G267" s="205" t="s">
        <v>6245</v>
      </c>
      <c r="H267" s="111">
        <v>676700.69889600005</v>
      </c>
      <c r="J267" t="s">
        <v>25</v>
      </c>
      <c r="R267" s="97" t="s">
        <v>4619</v>
      </c>
      <c r="S267" s="93">
        <v>8739459</v>
      </c>
      <c r="T267" t="s">
        <v>25</v>
      </c>
      <c r="U267" s="205" t="s">
        <v>4985</v>
      </c>
      <c r="V267" s="205">
        <v>782</v>
      </c>
      <c r="W267" s="111">
        <v>409</v>
      </c>
      <c r="X267" s="111">
        <f t="shared" si="52"/>
        <v>319838</v>
      </c>
      <c r="Y267" s="36" t="s">
        <v>743</v>
      </c>
      <c r="AI267" s="97">
        <v>247</v>
      </c>
      <c r="AJ267" s="111" t="s">
        <v>6714</v>
      </c>
      <c r="AK267" s="111">
        <v>50000</v>
      </c>
      <c r="AL267" s="97">
        <v>59</v>
      </c>
      <c r="AM267" s="20">
        <f t="shared" si="59"/>
        <v>122</v>
      </c>
      <c r="AN267" s="115"/>
      <c r="AO267" s="259" t="s">
        <v>6233</v>
      </c>
      <c r="AT267" t="s">
        <v>25</v>
      </c>
    </row>
    <row r="268" spans="7:46">
      <c r="G268" s="205" t="s">
        <v>6253</v>
      </c>
      <c r="H268" s="111">
        <v>1105777.5430340001</v>
      </c>
      <c r="J268" t="s">
        <v>25</v>
      </c>
      <c r="R268" s="97" t="s">
        <v>4628</v>
      </c>
      <c r="S268" s="93">
        <v>6667654</v>
      </c>
      <c r="U268" s="205" t="s">
        <v>4989</v>
      </c>
      <c r="V268" s="205">
        <v>1220</v>
      </c>
      <c r="W268" s="111">
        <v>409.9</v>
      </c>
      <c r="X268" s="111">
        <f t="shared" si="52"/>
        <v>500078</v>
      </c>
      <c r="Y268" s="36" t="s">
        <v>743</v>
      </c>
      <c r="AI268" s="97">
        <v>248</v>
      </c>
      <c r="AJ268" s="111" t="s">
        <v>6847</v>
      </c>
      <c r="AK268" s="111">
        <v>300000</v>
      </c>
      <c r="AL268" s="97">
        <v>55</v>
      </c>
      <c r="AM268" s="20">
        <f t="shared" si="59"/>
        <v>63</v>
      </c>
      <c r="AN268" s="115"/>
      <c r="AO268" s="259"/>
    </row>
    <row r="269" spans="7:46" ht="21.75" customHeight="1">
      <c r="G269" s="205" t="s">
        <v>6257</v>
      </c>
      <c r="H269" s="111">
        <v>2315234.8602510002</v>
      </c>
      <c r="R269" s="97" t="s">
        <v>4636</v>
      </c>
      <c r="S269" s="93">
        <v>8981245</v>
      </c>
      <c r="U269" s="205" t="s">
        <v>4991</v>
      </c>
      <c r="V269" s="205">
        <v>1285</v>
      </c>
      <c r="W269" s="111">
        <v>388.84</v>
      </c>
      <c r="X269" s="111">
        <f t="shared" si="52"/>
        <v>499659.39999999997</v>
      </c>
      <c r="Y269" s="36" t="s">
        <v>452</v>
      </c>
      <c r="AI269" s="97">
        <v>249</v>
      </c>
      <c r="AJ269" s="111" t="s">
        <v>6893</v>
      </c>
      <c r="AK269" s="111">
        <v>200000000</v>
      </c>
      <c r="AL269" s="97">
        <v>7</v>
      </c>
      <c r="AM269" s="20">
        <f t="shared" si="59"/>
        <v>8</v>
      </c>
      <c r="AN269" s="115"/>
      <c r="AO269" s="259" t="s">
        <v>6894</v>
      </c>
    </row>
    <row r="270" spans="7:46">
      <c r="G270" s="205" t="s">
        <v>6259</v>
      </c>
      <c r="H270" s="111">
        <v>4136360.6541840001</v>
      </c>
      <c r="J270" t="s">
        <v>25</v>
      </c>
      <c r="R270" s="97" t="s">
        <v>4640</v>
      </c>
      <c r="S270" s="93">
        <v>9181756</v>
      </c>
      <c r="U270" s="205" t="s">
        <v>4982</v>
      </c>
      <c r="V270" s="205">
        <v>1924</v>
      </c>
      <c r="W270" s="111">
        <v>386.69600000000003</v>
      </c>
      <c r="X270" s="111">
        <f t="shared" si="52"/>
        <v>744003.10400000005</v>
      </c>
      <c r="Y270" s="36" t="s">
        <v>452</v>
      </c>
      <c r="AI270" s="97">
        <v>250</v>
      </c>
      <c r="AJ270" s="111" t="s">
        <v>6902</v>
      </c>
      <c r="AK270" s="111">
        <v>50000</v>
      </c>
      <c r="AL270" s="97">
        <v>1</v>
      </c>
      <c r="AM270" s="20">
        <f t="shared" si="59"/>
        <v>1</v>
      </c>
      <c r="AN270" s="115"/>
      <c r="AO270" s="20" t="s">
        <v>6233</v>
      </c>
    </row>
    <row r="271" spans="7:46">
      <c r="G271" s="205" t="s">
        <v>6261</v>
      </c>
      <c r="H271" s="111">
        <v>3035714.4702960001</v>
      </c>
      <c r="R271" s="97" t="s">
        <v>4643</v>
      </c>
      <c r="S271" s="93">
        <v>11811208</v>
      </c>
      <c r="T271" t="s">
        <v>25</v>
      </c>
      <c r="U271" s="205" t="s">
        <v>5007</v>
      </c>
      <c r="V271" s="205">
        <v>165</v>
      </c>
      <c r="W271" s="111">
        <v>393.5</v>
      </c>
      <c r="X271" s="111">
        <f t="shared" si="52"/>
        <v>64927.5</v>
      </c>
      <c r="Y271" s="36" t="s">
        <v>452</v>
      </c>
      <c r="AD271" t="s">
        <v>25</v>
      </c>
      <c r="AI271" s="97"/>
      <c r="AJ271" s="111"/>
      <c r="AK271" s="111"/>
      <c r="AL271" s="97"/>
      <c r="AM271" s="20">
        <f t="shared" si="59"/>
        <v>0</v>
      </c>
      <c r="AN271" s="115"/>
      <c r="AO271" s="20"/>
      <c r="AS271" t="s">
        <v>25</v>
      </c>
    </row>
    <row r="272" spans="7:46" ht="30">
      <c r="G272" s="205" t="s">
        <v>6269</v>
      </c>
      <c r="H272" s="111">
        <v>93814</v>
      </c>
      <c r="R272" s="97" t="s">
        <v>4655</v>
      </c>
      <c r="S272" s="93">
        <v>41248054</v>
      </c>
      <c r="T272" t="s">
        <v>25</v>
      </c>
      <c r="U272" s="205" t="s">
        <v>5012</v>
      </c>
      <c r="V272" s="205">
        <v>-34859</v>
      </c>
      <c r="W272" s="111">
        <v>403.1585</v>
      </c>
      <c r="X272" s="111">
        <f t="shared" si="52"/>
        <v>-14053702.1515</v>
      </c>
      <c r="Y272" s="36" t="s">
        <v>5015</v>
      </c>
      <c r="AI272" s="97"/>
      <c r="AJ272" s="111"/>
      <c r="AK272" s="111"/>
      <c r="AL272" s="97"/>
      <c r="AM272" s="20">
        <f t="shared" si="59"/>
        <v>0</v>
      </c>
      <c r="AN272" s="115"/>
      <c r="AO272" s="20"/>
    </row>
    <row r="273" spans="7:41">
      <c r="G273" s="205" t="s">
        <v>6274</v>
      </c>
      <c r="H273" s="111">
        <v>345069.28943499998</v>
      </c>
      <c r="R273" s="97" t="s">
        <v>4662</v>
      </c>
      <c r="S273" s="93">
        <v>37328780</v>
      </c>
      <c r="U273" s="205" t="s">
        <v>4983</v>
      </c>
      <c r="V273" s="205">
        <v>8476</v>
      </c>
      <c r="W273" s="111">
        <v>419.49900000000002</v>
      </c>
      <c r="X273" s="111">
        <f t="shared" si="52"/>
        <v>3555673.5240000002</v>
      </c>
      <c r="Y273" s="36" t="s">
        <v>5021</v>
      </c>
      <c r="AI273" s="97"/>
      <c r="AJ273" s="111"/>
      <c r="AK273" s="111">
        <v>0</v>
      </c>
      <c r="AL273" s="97"/>
      <c r="AM273" s="20">
        <f t="shared" si="59"/>
        <v>0</v>
      </c>
      <c r="AN273" s="115">
        <f t="shared" si="60"/>
        <v>0</v>
      </c>
      <c r="AO273" s="20"/>
    </row>
    <row r="274" spans="7:41">
      <c r="G274" s="205" t="s">
        <v>6366</v>
      </c>
      <c r="H274" s="111">
        <v>567785.37859199999</v>
      </c>
      <c r="R274" s="97" t="s">
        <v>4738</v>
      </c>
      <c r="S274" s="93">
        <v>-2194100</v>
      </c>
      <c r="U274" s="205" t="s">
        <v>5033</v>
      </c>
      <c r="V274" s="205">
        <v>903</v>
      </c>
      <c r="W274" s="111">
        <v>442.77379999999999</v>
      </c>
      <c r="X274" s="111">
        <f t="shared" si="52"/>
        <v>399824.7414</v>
      </c>
      <c r="Y274" s="36" t="s">
        <v>743</v>
      </c>
      <c r="AI274" s="97"/>
      <c r="AJ274" s="111"/>
      <c r="AK274" s="111"/>
      <c r="AL274" s="97">
        <v>0</v>
      </c>
      <c r="AM274" s="20">
        <f t="shared" si="59"/>
        <v>0</v>
      </c>
      <c r="AN274" s="115">
        <f t="shared" si="60"/>
        <v>0</v>
      </c>
      <c r="AO274" s="20"/>
    </row>
    <row r="275" spans="7:41">
      <c r="G275" s="205" t="s">
        <v>6377</v>
      </c>
      <c r="H275" s="111">
        <v>189683.91675</v>
      </c>
      <c r="J275" t="s">
        <v>25</v>
      </c>
      <c r="R275" s="97" t="s">
        <v>4774</v>
      </c>
      <c r="S275" s="93">
        <v>20193916</v>
      </c>
      <c r="U275" s="205" t="s">
        <v>5036</v>
      </c>
      <c r="V275" s="205">
        <v>113</v>
      </c>
      <c r="W275" s="111">
        <v>442.48200000000003</v>
      </c>
      <c r="X275" s="111">
        <f t="shared" ref="X275:X356" si="61">V275*W275</f>
        <v>50000.466</v>
      </c>
      <c r="Y275" s="36" t="s">
        <v>743</v>
      </c>
      <c r="AI275" s="97"/>
      <c r="AJ275" s="97"/>
      <c r="AK275" s="93">
        <f>SUM(AK20:AK274)</f>
        <v>669835949.06156397</v>
      </c>
      <c r="AL275" s="97"/>
      <c r="AM275" s="97">
        <v>0</v>
      </c>
      <c r="AN275" s="93">
        <f>SUM(AN20:AN274)</f>
        <v>654508638748</v>
      </c>
      <c r="AO275" s="93">
        <f>AN275*AO278/31</f>
        <v>351893402.64557797</v>
      </c>
    </row>
    <row r="276" spans="7:41">
      <c r="G276" s="205" t="s">
        <v>6378</v>
      </c>
      <c r="H276" s="111">
        <v>519135.75707200001</v>
      </c>
      <c r="R276" s="97" t="s">
        <v>4839</v>
      </c>
      <c r="S276" s="93">
        <v>-2000000</v>
      </c>
      <c r="U276" s="205" t="s">
        <v>5046</v>
      </c>
      <c r="V276" s="205">
        <v>671</v>
      </c>
      <c r="W276" s="111">
        <v>447</v>
      </c>
      <c r="X276" s="111">
        <f t="shared" si="61"/>
        <v>299937</v>
      </c>
      <c r="Y276" s="36" t="s">
        <v>743</v>
      </c>
      <c r="AI276" s="97"/>
      <c r="AJ276" s="97"/>
      <c r="AK276" s="97" t="s">
        <v>4041</v>
      </c>
      <c r="AL276" s="97"/>
      <c r="AM276" s="97"/>
      <c r="AN276" s="97" t="s">
        <v>284</v>
      </c>
      <c r="AO276" s="97" t="s">
        <v>926</v>
      </c>
    </row>
    <row r="277" spans="7:41">
      <c r="G277" s="205" t="s">
        <v>6384</v>
      </c>
      <c r="H277" s="111">
        <v>3406413.9029760002</v>
      </c>
      <c r="R277" s="97" t="s">
        <v>4902</v>
      </c>
      <c r="S277" s="93">
        <v>6800000</v>
      </c>
      <c r="T277" t="s">
        <v>25</v>
      </c>
      <c r="U277" s="205" t="s">
        <v>5048</v>
      </c>
      <c r="V277" s="205">
        <v>7</v>
      </c>
      <c r="W277" s="111">
        <v>465.31200000000001</v>
      </c>
      <c r="X277" s="111">
        <f t="shared" si="61"/>
        <v>3257.1840000000002</v>
      </c>
      <c r="Y277" s="36" t="s">
        <v>452</v>
      </c>
      <c r="AI277" s="97"/>
      <c r="AJ277" s="97"/>
      <c r="AK277" s="97"/>
      <c r="AL277" s="97"/>
      <c r="AM277" s="97"/>
      <c r="AN277" s="97"/>
      <c r="AO277" s="97"/>
    </row>
    <row r="278" spans="7:41">
      <c r="G278" s="370" t="s">
        <v>6386</v>
      </c>
      <c r="H278" s="77">
        <v>435036.348168</v>
      </c>
      <c r="R278" s="97" t="s">
        <v>4909</v>
      </c>
      <c r="S278" s="93">
        <v>850000</v>
      </c>
      <c r="U278" s="205" t="s">
        <v>5052</v>
      </c>
      <c r="V278" s="205">
        <v>12950</v>
      </c>
      <c r="W278" s="111">
        <v>463.31599999999997</v>
      </c>
      <c r="X278" s="111">
        <f t="shared" si="61"/>
        <v>5999942.1999999993</v>
      </c>
      <c r="Y278" s="36" t="s">
        <v>452</v>
      </c>
      <c r="AI278" s="97"/>
      <c r="AJ278" s="97"/>
      <c r="AK278" s="97"/>
      <c r="AL278" s="97"/>
      <c r="AM278" s="97"/>
      <c r="AN278" s="97" t="s">
        <v>4042</v>
      </c>
      <c r="AO278" s="97">
        <v>1.6667000000000001E-2</v>
      </c>
    </row>
    <row r="279" spans="7:41">
      <c r="G279" s="205" t="s">
        <v>6423</v>
      </c>
      <c r="H279" s="111">
        <v>2321535.4633200001</v>
      </c>
      <c r="R279" s="97" t="s">
        <v>4917</v>
      </c>
      <c r="S279" s="93">
        <v>2290500</v>
      </c>
      <c r="U279" s="205" t="s">
        <v>5054</v>
      </c>
      <c r="V279" s="205">
        <v>37</v>
      </c>
      <c r="W279" s="111">
        <v>463.315</v>
      </c>
      <c r="X279" s="111">
        <f t="shared" si="61"/>
        <v>17142.654999999999</v>
      </c>
      <c r="Y279" s="36" t="s">
        <v>452</v>
      </c>
      <c r="AI279" s="97"/>
      <c r="AJ279" s="97"/>
      <c r="AK279" s="97"/>
      <c r="AL279" s="97"/>
      <c r="AM279" s="97"/>
      <c r="AN279" s="97"/>
      <c r="AO279" s="97"/>
    </row>
    <row r="280" spans="7:41">
      <c r="G280" s="205" t="s">
        <v>6704</v>
      </c>
      <c r="H280" s="111">
        <v>1098146.8035800001</v>
      </c>
      <c r="R280" s="97" t="s">
        <v>4925</v>
      </c>
      <c r="S280" s="93">
        <v>400000</v>
      </c>
      <c r="T280" t="s">
        <v>25</v>
      </c>
      <c r="U280" s="205" t="s">
        <v>5055</v>
      </c>
      <c r="V280" s="205">
        <v>19</v>
      </c>
      <c r="W280" s="111">
        <v>434.3</v>
      </c>
      <c r="X280" s="111">
        <f t="shared" si="61"/>
        <v>8251.7000000000007</v>
      </c>
      <c r="Y280" s="36" t="s">
        <v>452</v>
      </c>
      <c r="Z280" t="s">
        <v>25</v>
      </c>
      <c r="AI280" s="97"/>
      <c r="AJ280" s="97" t="s">
        <v>4043</v>
      </c>
      <c r="AK280" s="93">
        <f>AK275+AO275</f>
        <v>1021729351.7071419</v>
      </c>
      <c r="AL280" s="97"/>
      <c r="AM280" s="97"/>
      <c r="AN280" s="97"/>
      <c r="AO280" s="97"/>
    </row>
    <row r="281" spans="7:41">
      <c r="G281" s="205" t="s">
        <v>6709</v>
      </c>
      <c r="H281" s="111">
        <v>540424.560405</v>
      </c>
      <c r="R281" s="97" t="s">
        <v>4932</v>
      </c>
      <c r="S281" s="93">
        <v>150000</v>
      </c>
      <c r="U281" s="205" t="s">
        <v>5057</v>
      </c>
      <c r="V281" s="205">
        <v>16</v>
      </c>
      <c r="W281" s="111">
        <v>439</v>
      </c>
      <c r="X281" s="111">
        <f t="shared" si="61"/>
        <v>7024</v>
      </c>
      <c r="Y281" s="36" t="s">
        <v>452</v>
      </c>
      <c r="Z281" t="s">
        <v>25</v>
      </c>
      <c r="AJ281" t="s">
        <v>4046</v>
      </c>
      <c r="AK281" s="112">
        <f>SUM(N47:N56)</f>
        <v>6156143133</v>
      </c>
      <c r="AN281" t="s">
        <v>25</v>
      </c>
    </row>
    <row r="282" spans="7:41" ht="45">
      <c r="G282" s="205" t="s">
        <v>6711</v>
      </c>
      <c r="H282" s="111">
        <v>2781712.2405709997</v>
      </c>
      <c r="R282" s="97" t="s">
        <v>4960</v>
      </c>
      <c r="S282" s="93">
        <v>-144950</v>
      </c>
      <c r="U282" s="205" t="s">
        <v>5057</v>
      </c>
      <c r="V282" s="205">
        <v>9191</v>
      </c>
      <c r="W282" s="111">
        <v>440.24630000000002</v>
      </c>
      <c r="X282" s="111">
        <f t="shared" si="61"/>
        <v>4046303.7433000002</v>
      </c>
      <c r="Y282" s="36" t="s">
        <v>5058</v>
      </c>
      <c r="AJ282" t="s">
        <v>4116</v>
      </c>
      <c r="AK282" s="112">
        <f>AK281-AK275</f>
        <v>5486307183.9384365</v>
      </c>
      <c r="AN282" t="s">
        <v>25</v>
      </c>
    </row>
    <row r="283" spans="7:41">
      <c r="G283" s="205" t="s">
        <v>6719</v>
      </c>
      <c r="H283" s="111">
        <v>109680.86334900001</v>
      </c>
      <c r="R283" s="97" t="s">
        <v>4985</v>
      </c>
      <c r="S283" s="93">
        <v>320000</v>
      </c>
      <c r="U283" s="205" t="s">
        <v>5060</v>
      </c>
      <c r="V283" s="205">
        <v>-8792</v>
      </c>
      <c r="W283" s="111">
        <v>441.90665999999999</v>
      </c>
      <c r="X283" s="111">
        <f t="shared" si="61"/>
        <v>-3885243.3547199997</v>
      </c>
      <c r="Y283" s="36" t="s">
        <v>5061</v>
      </c>
      <c r="AJ283" t="s">
        <v>926</v>
      </c>
      <c r="AK283" s="112">
        <f>AO275</f>
        <v>351893402.64557797</v>
      </c>
      <c r="AO283" t="s">
        <v>25</v>
      </c>
    </row>
    <row r="284" spans="7:41">
      <c r="G284" s="205" t="s">
        <v>6740</v>
      </c>
      <c r="H284" s="111">
        <v>13945790.265610002</v>
      </c>
      <c r="R284" s="97" t="s">
        <v>4989</v>
      </c>
      <c r="S284" s="93">
        <v>500000</v>
      </c>
      <c r="T284" t="s">
        <v>25</v>
      </c>
      <c r="U284" s="205" t="s">
        <v>5067</v>
      </c>
      <c r="V284" s="205">
        <v>530</v>
      </c>
      <c r="W284" s="111">
        <v>472</v>
      </c>
      <c r="X284" s="111">
        <f t="shared" si="61"/>
        <v>250160</v>
      </c>
      <c r="Y284" s="36" t="s">
        <v>743</v>
      </c>
      <c r="AJ284" t="s">
        <v>4047</v>
      </c>
      <c r="AK284" s="112">
        <f>AK281-AK280</f>
        <v>5134413781.2928581</v>
      </c>
      <c r="AO284" t="s">
        <v>25</v>
      </c>
    </row>
    <row r="285" spans="7:41" ht="30">
      <c r="G285" s="205" t="s">
        <v>6742</v>
      </c>
      <c r="H285" s="111">
        <v>457914.84466800001</v>
      </c>
      <c r="O285" t="s">
        <v>25</v>
      </c>
      <c r="R285" s="97" t="s">
        <v>5033</v>
      </c>
      <c r="S285" s="93">
        <v>400000</v>
      </c>
      <c r="T285" t="s">
        <v>25</v>
      </c>
      <c r="U285" s="205" t="s">
        <v>5067</v>
      </c>
      <c r="V285" s="205">
        <v>12</v>
      </c>
      <c r="W285" s="111">
        <v>481.86</v>
      </c>
      <c r="X285" s="111">
        <f t="shared" si="61"/>
        <v>5782.32</v>
      </c>
      <c r="Y285" s="36" t="s">
        <v>5069</v>
      </c>
      <c r="AN285" t="s">
        <v>25</v>
      </c>
    </row>
    <row r="286" spans="7:41">
      <c r="G286" s="205" t="s">
        <v>6744</v>
      </c>
      <c r="H286" s="111">
        <v>974570.33942399989</v>
      </c>
      <c r="R286" s="97" t="s">
        <v>5036</v>
      </c>
      <c r="S286" s="93">
        <v>50000</v>
      </c>
      <c r="T286" t="s">
        <v>25</v>
      </c>
      <c r="U286" s="205" t="s">
        <v>5093</v>
      </c>
      <c r="V286" s="205">
        <v>846</v>
      </c>
      <c r="W286" s="111">
        <v>472.7</v>
      </c>
      <c r="X286" s="111">
        <f t="shared" si="61"/>
        <v>399904.2</v>
      </c>
      <c r="Y286" s="36" t="s">
        <v>452</v>
      </c>
      <c r="AK286" t="s">
        <v>25</v>
      </c>
    </row>
    <row r="287" spans="7:41">
      <c r="G287" s="205" t="s">
        <v>6746</v>
      </c>
      <c r="H287" s="111">
        <v>746198.52596400003</v>
      </c>
      <c r="J287" t="s">
        <v>25</v>
      </c>
      <c r="R287" s="97" t="s">
        <v>5046</v>
      </c>
      <c r="S287" s="93">
        <v>300000</v>
      </c>
      <c r="U287" s="205" t="s">
        <v>5096</v>
      </c>
      <c r="V287" s="205">
        <v>191</v>
      </c>
      <c r="W287" s="111">
        <v>484.572</v>
      </c>
      <c r="X287" s="111">
        <f t="shared" si="61"/>
        <v>92553.252000000008</v>
      </c>
      <c r="Y287" s="36" t="s">
        <v>5097</v>
      </c>
    </row>
    <row r="288" spans="7:41">
      <c r="G288" s="205" t="s">
        <v>6748</v>
      </c>
      <c r="H288" s="111">
        <v>416108</v>
      </c>
      <c r="R288" s="97" t="s">
        <v>5067</v>
      </c>
      <c r="S288" s="93">
        <v>250000</v>
      </c>
      <c r="U288" s="205" t="s">
        <v>5096</v>
      </c>
      <c r="V288" s="205">
        <v>-206</v>
      </c>
      <c r="W288" s="111">
        <v>484.572</v>
      </c>
      <c r="X288" s="111">
        <f t="shared" si="61"/>
        <v>-99821.831999999995</v>
      </c>
      <c r="Y288" s="36" t="s">
        <v>5099</v>
      </c>
    </row>
    <row r="289" spans="7:45">
      <c r="G289" s="205" t="s">
        <v>6762</v>
      </c>
      <c r="H289" s="111">
        <v>361620.57555000001</v>
      </c>
      <c r="R289" s="97" t="s">
        <v>5100</v>
      </c>
      <c r="S289" s="93">
        <v>200000</v>
      </c>
      <c r="U289" s="205" t="s">
        <v>5100</v>
      </c>
      <c r="V289" s="205">
        <v>20685</v>
      </c>
      <c r="W289" s="111">
        <v>483.43312200000003</v>
      </c>
      <c r="X289" s="111">
        <f t="shared" si="61"/>
        <v>9999814.1285699997</v>
      </c>
      <c r="Y289" s="36" t="s">
        <v>5102</v>
      </c>
    </row>
    <row r="290" spans="7:45">
      <c r="G290" s="205" t="s">
        <v>6763</v>
      </c>
      <c r="H290" s="111">
        <v>761310.51884999999</v>
      </c>
      <c r="R290" s="97" t="s">
        <v>5132</v>
      </c>
      <c r="S290" s="93">
        <v>122000</v>
      </c>
      <c r="U290" s="205" t="s">
        <v>5100</v>
      </c>
      <c r="V290" s="205">
        <v>-413</v>
      </c>
      <c r="W290" s="111">
        <v>483.40199999999999</v>
      </c>
      <c r="X290" s="111">
        <f t="shared" si="61"/>
        <v>-199645.02599999998</v>
      </c>
      <c r="Y290" s="36" t="s">
        <v>4406</v>
      </c>
    </row>
    <row r="291" spans="7:45">
      <c r="G291" s="205" t="s">
        <v>6766</v>
      </c>
      <c r="H291" s="111">
        <v>3047100.3041699999</v>
      </c>
      <c r="R291" s="97" t="s">
        <v>5140</v>
      </c>
      <c r="S291" s="93">
        <v>200000</v>
      </c>
      <c r="T291" t="s">
        <v>25</v>
      </c>
      <c r="U291" s="205" t="s">
        <v>5100</v>
      </c>
      <c r="V291" s="205">
        <v>413</v>
      </c>
      <c r="W291" s="111">
        <v>483.40199999999999</v>
      </c>
      <c r="X291" s="111">
        <f t="shared" si="61"/>
        <v>199645.02599999998</v>
      </c>
      <c r="Y291" s="36" t="s">
        <v>743</v>
      </c>
      <c r="AI291" s="97" t="s">
        <v>3623</v>
      </c>
      <c r="AJ291" s="97" t="s">
        <v>180</v>
      </c>
      <c r="AK291" s="97" t="s">
        <v>267</v>
      </c>
      <c r="AL291" s="97" t="s">
        <v>4040</v>
      </c>
      <c r="AM291" s="97" t="s">
        <v>4032</v>
      </c>
      <c r="AN291" s="97" t="s">
        <v>282</v>
      </c>
      <c r="AO291" s="97" t="s">
        <v>4265</v>
      </c>
    </row>
    <row r="292" spans="7:45">
      <c r="G292" s="205" t="s">
        <v>6769</v>
      </c>
      <c r="H292" s="111">
        <v>2437078.451072</v>
      </c>
      <c r="I292" t="s">
        <v>25</v>
      </c>
      <c r="R292" s="97" t="s">
        <v>5150</v>
      </c>
      <c r="S292" s="93">
        <v>60000</v>
      </c>
      <c r="U292" s="205" t="s">
        <v>5105</v>
      </c>
      <c r="V292" s="205">
        <v>-828</v>
      </c>
      <c r="W292" s="111">
        <v>483.43312200000003</v>
      </c>
      <c r="X292" s="111">
        <f t="shared" si="61"/>
        <v>-400282.62501600001</v>
      </c>
      <c r="Y292" s="36" t="s">
        <v>452</v>
      </c>
      <c r="AI292" s="97">
        <v>1</v>
      </c>
      <c r="AJ292" s="97" t="s">
        <v>3931</v>
      </c>
      <c r="AK292" s="115">
        <v>3555820</v>
      </c>
      <c r="AL292" s="97">
        <v>2</v>
      </c>
      <c r="AM292" s="97">
        <f>AL292+AM293</f>
        <v>991</v>
      </c>
      <c r="AN292" s="97">
        <f>AK292*AM292</f>
        <v>3523817620</v>
      </c>
      <c r="AO292" s="97" t="s">
        <v>4283</v>
      </c>
    </row>
    <row r="293" spans="7:45">
      <c r="G293" s="205" t="s">
        <v>6850</v>
      </c>
      <c r="H293" s="111">
        <v>7747639.4065840002</v>
      </c>
      <c r="J293" t="s">
        <v>25</v>
      </c>
      <c r="K293" t="s">
        <v>25</v>
      </c>
      <c r="O293" t="s">
        <v>25</v>
      </c>
      <c r="R293" s="97" t="s">
        <v>5209</v>
      </c>
      <c r="S293" s="93">
        <v>-200000</v>
      </c>
      <c r="T293" t="s">
        <v>25</v>
      </c>
      <c r="U293" s="205" t="s">
        <v>5108</v>
      </c>
      <c r="V293" s="205">
        <v>12</v>
      </c>
      <c r="W293" s="111">
        <v>473.61898300000001</v>
      </c>
      <c r="X293" s="111">
        <f t="shared" si="61"/>
        <v>5683.4277959999999</v>
      </c>
      <c r="Y293" s="36" t="s">
        <v>452</v>
      </c>
      <c r="AI293" s="97">
        <v>2</v>
      </c>
      <c r="AJ293" s="97" t="s">
        <v>4006</v>
      </c>
      <c r="AK293" s="115">
        <v>1720837</v>
      </c>
      <c r="AL293" s="97">
        <v>51</v>
      </c>
      <c r="AM293" s="97">
        <f t="shared" ref="AM293:AM302" si="62">AL293+AM294</f>
        <v>989</v>
      </c>
      <c r="AN293" s="97">
        <f t="shared" ref="AN293:AN321" si="63">AK293*AM293</f>
        <v>1701907793</v>
      </c>
      <c r="AO293" s="97" t="s">
        <v>4284</v>
      </c>
    </row>
    <row r="294" spans="7:45">
      <c r="G294" s="205" t="s">
        <v>6852</v>
      </c>
      <c r="H294" s="111">
        <v>5584918.3522559991</v>
      </c>
      <c r="R294" s="97" t="s">
        <v>5271</v>
      </c>
      <c r="S294" s="93">
        <v>-9000000</v>
      </c>
      <c r="U294" s="205" t="s">
        <v>5111</v>
      </c>
      <c r="V294" s="205">
        <v>963</v>
      </c>
      <c r="W294" s="111">
        <v>477.92200000000003</v>
      </c>
      <c r="X294" s="111">
        <f t="shared" si="61"/>
        <v>460238.886</v>
      </c>
      <c r="Y294" s="36" t="s">
        <v>452</v>
      </c>
      <c r="AI294" s="97">
        <v>3</v>
      </c>
      <c r="AJ294" s="97" t="s">
        <v>4110</v>
      </c>
      <c r="AK294" s="115">
        <v>150000</v>
      </c>
      <c r="AL294" s="97">
        <v>3</v>
      </c>
      <c r="AM294" s="97">
        <f t="shared" si="62"/>
        <v>938</v>
      </c>
      <c r="AN294" s="97">
        <f t="shared" si="63"/>
        <v>140700000</v>
      </c>
      <c r="AO294" s="97"/>
    </row>
    <row r="295" spans="7:45">
      <c r="G295" s="205" t="s">
        <v>6853</v>
      </c>
      <c r="H295" s="111">
        <v>573666.77206800005</v>
      </c>
      <c r="R295" s="97" t="s">
        <v>5328</v>
      </c>
      <c r="S295" s="93">
        <v>-26000000</v>
      </c>
      <c r="U295" s="205" t="s">
        <v>5112</v>
      </c>
      <c r="V295" s="205">
        <v>2815</v>
      </c>
      <c r="W295" s="111">
        <v>461.79</v>
      </c>
      <c r="X295" s="111">
        <f t="shared" si="61"/>
        <v>1299938.8500000001</v>
      </c>
      <c r="Y295" s="36" t="s">
        <v>452</v>
      </c>
      <c r="AI295" s="97">
        <v>4</v>
      </c>
      <c r="AJ295" s="97" t="s">
        <v>4125</v>
      </c>
      <c r="AK295" s="115">
        <v>-95000</v>
      </c>
      <c r="AL295" s="97">
        <v>8</v>
      </c>
      <c r="AM295" s="97">
        <f t="shared" si="62"/>
        <v>935</v>
      </c>
      <c r="AN295" s="97">
        <f t="shared" si="63"/>
        <v>-88825000</v>
      </c>
      <c r="AO295" s="97"/>
    </row>
    <row r="296" spans="7:45">
      <c r="G296" s="205" t="s">
        <v>6862</v>
      </c>
      <c r="H296" s="111">
        <v>1870018.6536539998</v>
      </c>
      <c r="J296" t="s">
        <v>25</v>
      </c>
      <c r="R296" s="97" t="s">
        <v>5332</v>
      </c>
      <c r="S296" s="93">
        <v>-95900000</v>
      </c>
      <c r="U296" s="205" t="s">
        <v>5112</v>
      </c>
      <c r="V296" s="205">
        <v>1581</v>
      </c>
      <c r="W296" s="111">
        <v>461.79</v>
      </c>
      <c r="X296" s="111">
        <f t="shared" si="61"/>
        <v>730089.99</v>
      </c>
      <c r="Y296" s="36" t="s">
        <v>452</v>
      </c>
      <c r="Z296" t="s">
        <v>25</v>
      </c>
      <c r="AI296" s="97">
        <v>5</v>
      </c>
      <c r="AJ296" s="97" t="s">
        <v>4149</v>
      </c>
      <c r="AK296" s="115">
        <v>3150000</v>
      </c>
      <c r="AL296" s="97">
        <v>16</v>
      </c>
      <c r="AM296" s="97">
        <f t="shared" si="62"/>
        <v>927</v>
      </c>
      <c r="AN296" s="97">
        <f t="shared" si="63"/>
        <v>2920050000</v>
      </c>
      <c r="AO296" s="97"/>
    </row>
    <row r="297" spans="7:45">
      <c r="G297" s="205" t="s">
        <v>6870</v>
      </c>
      <c r="H297" s="111">
        <v>117222.435308</v>
      </c>
      <c r="R297" s="97" t="s">
        <v>5333</v>
      </c>
      <c r="S297" s="93">
        <v>-28950000</v>
      </c>
      <c r="T297" t="s">
        <v>25</v>
      </c>
      <c r="U297" s="205" t="s">
        <v>975</v>
      </c>
      <c r="V297" s="205">
        <v>41</v>
      </c>
      <c r="W297" s="111">
        <v>514.48099999999999</v>
      </c>
      <c r="X297" s="111">
        <f t="shared" si="61"/>
        <v>21093.721000000001</v>
      </c>
      <c r="Y297" s="36" t="s">
        <v>5097</v>
      </c>
      <c r="AI297" s="97">
        <v>6</v>
      </c>
      <c r="AJ297" s="97" t="s">
        <v>4214</v>
      </c>
      <c r="AK297" s="115">
        <v>-65000</v>
      </c>
      <c r="AL297" s="97">
        <v>1</v>
      </c>
      <c r="AM297" s="97">
        <f t="shared" si="62"/>
        <v>911</v>
      </c>
      <c r="AN297" s="97">
        <f t="shared" si="63"/>
        <v>-59215000</v>
      </c>
      <c r="AO297" s="97"/>
    </row>
    <row r="298" spans="7:45">
      <c r="G298" s="205" t="s">
        <v>6872</v>
      </c>
      <c r="H298" s="111">
        <v>1940857.6749900002</v>
      </c>
      <c r="R298" s="97" t="s">
        <v>5475</v>
      </c>
      <c r="S298" s="93">
        <v>-93000000</v>
      </c>
      <c r="T298" t="s">
        <v>25</v>
      </c>
      <c r="U298" s="205" t="s">
        <v>4253</v>
      </c>
      <c r="V298" s="205">
        <v>71</v>
      </c>
      <c r="W298" s="111">
        <v>482.57</v>
      </c>
      <c r="X298" s="111">
        <f t="shared" si="61"/>
        <v>34262.47</v>
      </c>
      <c r="Y298" s="36" t="s">
        <v>5097</v>
      </c>
      <c r="AI298" s="97">
        <v>7</v>
      </c>
      <c r="AJ298" s="97" t="s">
        <v>4285</v>
      </c>
      <c r="AK298" s="115">
        <v>-95000</v>
      </c>
      <c r="AL298" s="97">
        <v>6</v>
      </c>
      <c r="AM298" s="97">
        <f t="shared" si="62"/>
        <v>910</v>
      </c>
      <c r="AN298" s="97">
        <f t="shared" si="63"/>
        <v>-86450000</v>
      </c>
      <c r="AO298" s="97"/>
    </row>
    <row r="299" spans="7:45">
      <c r="G299" s="205" t="s">
        <v>6906</v>
      </c>
      <c r="H299" s="111">
        <v>195324.59944799999</v>
      </c>
      <c r="R299" s="97" t="s">
        <v>5484</v>
      </c>
      <c r="S299" s="93">
        <v>50000000</v>
      </c>
      <c r="U299" s="205" t="s">
        <v>5132</v>
      </c>
      <c r="V299" s="205">
        <v>-250</v>
      </c>
      <c r="W299" s="111">
        <v>487.125</v>
      </c>
      <c r="X299" s="111">
        <f t="shared" si="61"/>
        <v>-121781.25</v>
      </c>
      <c r="Y299" s="36" t="s">
        <v>4406</v>
      </c>
      <c r="AI299" s="97">
        <v>8</v>
      </c>
      <c r="AJ299" s="97" t="s">
        <v>4286</v>
      </c>
      <c r="AK299" s="115">
        <v>232000</v>
      </c>
      <c r="AL299" s="97">
        <v>7</v>
      </c>
      <c r="AM299" s="97">
        <f t="shared" si="62"/>
        <v>904</v>
      </c>
      <c r="AN299" s="97">
        <f t="shared" si="63"/>
        <v>209728000</v>
      </c>
      <c r="AO299" s="97"/>
    </row>
    <row r="300" spans="7:45">
      <c r="G300" s="205" t="s">
        <v>6906</v>
      </c>
      <c r="H300" s="111">
        <v>20318581.172208</v>
      </c>
      <c r="R300" s="97" t="s">
        <v>4209</v>
      </c>
      <c r="S300" s="93">
        <v>2749471.1668000002</v>
      </c>
      <c r="U300" s="205" t="s">
        <v>5132</v>
      </c>
      <c r="V300" s="205">
        <v>250</v>
      </c>
      <c r="W300" s="111">
        <v>487.125</v>
      </c>
      <c r="X300" s="111">
        <f t="shared" si="61"/>
        <v>121781.25</v>
      </c>
      <c r="Y300" s="36" t="s">
        <v>743</v>
      </c>
      <c r="AI300" s="97">
        <v>9</v>
      </c>
      <c r="AJ300" s="97" t="s">
        <v>4264</v>
      </c>
      <c r="AK300" s="115">
        <v>13000000</v>
      </c>
      <c r="AL300" s="97">
        <v>2</v>
      </c>
      <c r="AM300" s="97">
        <f t="shared" si="62"/>
        <v>897</v>
      </c>
      <c r="AN300" s="97">
        <f t="shared" si="63"/>
        <v>11661000000</v>
      </c>
      <c r="AO300" s="97"/>
      <c r="AS300" t="s">
        <v>25</v>
      </c>
    </row>
    <row r="301" spans="7:45">
      <c r="G301" s="205" t="s">
        <v>6908</v>
      </c>
      <c r="H301" s="111">
        <v>2893976.613864</v>
      </c>
      <c r="O301" t="s">
        <v>25</v>
      </c>
      <c r="R301" s="97" t="s">
        <v>5573</v>
      </c>
      <c r="S301" s="93">
        <v>-680940.07019999996</v>
      </c>
      <c r="U301" s="205" t="s">
        <v>5140</v>
      </c>
      <c r="V301" s="205">
        <v>-1439</v>
      </c>
      <c r="W301" s="111">
        <v>486.53068999999999</v>
      </c>
      <c r="X301" s="111">
        <f t="shared" si="61"/>
        <v>-700117.66290999996</v>
      </c>
      <c r="Y301" s="36" t="s">
        <v>4406</v>
      </c>
      <c r="AI301" s="97">
        <v>10</v>
      </c>
      <c r="AJ301" s="97" t="s">
        <v>4287</v>
      </c>
      <c r="AK301" s="115">
        <v>10000000</v>
      </c>
      <c r="AL301" s="97">
        <v>3</v>
      </c>
      <c r="AM301" s="97">
        <f t="shared" si="62"/>
        <v>895</v>
      </c>
      <c r="AN301" s="97">
        <f t="shared" si="63"/>
        <v>8950000000</v>
      </c>
      <c r="AO301" s="97"/>
    </row>
    <row r="302" spans="7:45">
      <c r="G302" s="205" t="s">
        <v>6909</v>
      </c>
      <c r="H302" s="111">
        <v>348175.86130300001</v>
      </c>
      <c r="R302" s="97" t="s">
        <v>5573</v>
      </c>
      <c r="S302" s="93">
        <v>-48684800.338199995</v>
      </c>
      <c r="U302" s="205" t="s">
        <v>5140</v>
      </c>
      <c r="V302" s="205">
        <v>411</v>
      </c>
      <c r="W302" s="111">
        <v>486.53068999999999</v>
      </c>
      <c r="X302" s="111">
        <f t="shared" si="61"/>
        <v>199964.11358999999</v>
      </c>
      <c r="Y302" s="36" t="s">
        <v>743</v>
      </c>
      <c r="Z302" t="s">
        <v>25</v>
      </c>
      <c r="AI302" s="97">
        <v>11</v>
      </c>
      <c r="AJ302" s="97" t="s">
        <v>4276</v>
      </c>
      <c r="AK302" s="115">
        <v>3400000</v>
      </c>
      <c r="AL302" s="97">
        <v>9</v>
      </c>
      <c r="AM302" s="97">
        <f t="shared" si="62"/>
        <v>892</v>
      </c>
      <c r="AN302" s="97">
        <f t="shared" si="63"/>
        <v>3032800000</v>
      </c>
      <c r="AO302" s="97"/>
    </row>
    <row r="303" spans="7:45">
      <c r="G303" s="205" t="s">
        <v>6920</v>
      </c>
      <c r="H303" s="111">
        <v>315280.48550000001</v>
      </c>
      <c r="P303" t="s">
        <v>25</v>
      </c>
      <c r="R303" s="97" t="s">
        <v>5597</v>
      </c>
      <c r="S303" s="93">
        <v>1500000</v>
      </c>
      <c r="T303" t="s">
        <v>25</v>
      </c>
      <c r="U303" s="205" t="s">
        <v>5110</v>
      </c>
      <c r="V303" s="205">
        <v>-4290</v>
      </c>
      <c r="W303" s="111">
        <v>497.57670000000002</v>
      </c>
      <c r="X303" s="111">
        <f t="shared" si="61"/>
        <v>-2134604.0430000001</v>
      </c>
      <c r="Y303" s="36" t="s">
        <v>452</v>
      </c>
      <c r="AI303" s="97">
        <v>12</v>
      </c>
      <c r="AJ303" s="97" t="s">
        <v>4313</v>
      </c>
      <c r="AK303" s="115">
        <v>-8736514</v>
      </c>
      <c r="AL303" s="97">
        <v>1</v>
      </c>
      <c r="AM303" s="97">
        <f>AL303+AM304</f>
        <v>883</v>
      </c>
      <c r="AN303" s="97">
        <f t="shared" si="63"/>
        <v>-7714341862</v>
      </c>
      <c r="AO303" s="97"/>
    </row>
    <row r="304" spans="7:45">
      <c r="G304" s="205" t="s">
        <v>6926</v>
      </c>
      <c r="H304" s="111">
        <v>184045.65498799999</v>
      </c>
      <c r="R304" s="97" t="s">
        <v>963</v>
      </c>
      <c r="S304" s="93">
        <v>11221062</v>
      </c>
      <c r="T304" t="s">
        <v>25</v>
      </c>
      <c r="U304" s="205" t="s">
        <v>5147</v>
      </c>
      <c r="V304" s="205">
        <v>-644</v>
      </c>
      <c r="W304" s="111">
        <v>494.76464499999997</v>
      </c>
      <c r="X304" s="111">
        <f t="shared" si="61"/>
        <v>-318628.43137999997</v>
      </c>
      <c r="Y304" s="36" t="s">
        <v>452</v>
      </c>
      <c r="AI304" s="97">
        <v>13</v>
      </c>
      <c r="AJ304" s="97" t="s">
        <v>4314</v>
      </c>
      <c r="AK304" s="115">
        <v>555000</v>
      </c>
      <c r="AL304" s="97">
        <v>5</v>
      </c>
      <c r="AM304" s="97">
        <f t="shared" ref="AM304:AM320" si="64">AL304+AM305</f>
        <v>882</v>
      </c>
      <c r="AN304" s="97">
        <f t="shared" si="63"/>
        <v>489510000</v>
      </c>
      <c r="AO304" s="97"/>
    </row>
    <row r="305" spans="7:41">
      <c r="G305" s="205"/>
      <c r="H305" s="111"/>
      <c r="R305" s="97" t="s">
        <v>5803</v>
      </c>
      <c r="S305" s="93">
        <v>20031495.928431001</v>
      </c>
      <c r="U305" s="205" t="s">
        <v>5150</v>
      </c>
      <c r="V305" s="205">
        <v>-112</v>
      </c>
      <c r="W305" s="111">
        <v>485.78</v>
      </c>
      <c r="X305" s="111">
        <f t="shared" si="61"/>
        <v>-54407.360000000001</v>
      </c>
      <c r="Y305" s="36" t="s">
        <v>452</v>
      </c>
      <c r="AI305" s="97">
        <v>14</v>
      </c>
      <c r="AJ305" s="97" t="s">
        <v>4338</v>
      </c>
      <c r="AK305" s="115">
        <v>-448308</v>
      </c>
      <c r="AL305" s="97">
        <v>6</v>
      </c>
      <c r="AM305" s="97">
        <f t="shared" si="64"/>
        <v>877</v>
      </c>
      <c r="AN305" s="97">
        <f t="shared" si="63"/>
        <v>-393166116</v>
      </c>
      <c r="AO305" s="97"/>
    </row>
    <row r="306" spans="7:41">
      <c r="G306" s="205"/>
      <c r="H306" s="111"/>
      <c r="R306" s="97" t="s">
        <v>5814</v>
      </c>
      <c r="S306" s="93">
        <v>-154353015.43906799</v>
      </c>
      <c r="T306" t="s">
        <v>25</v>
      </c>
      <c r="U306" s="205" t="s">
        <v>5150</v>
      </c>
      <c r="V306" s="205">
        <v>123</v>
      </c>
      <c r="W306" s="111">
        <v>485.78</v>
      </c>
      <c r="X306" s="111">
        <f t="shared" si="61"/>
        <v>59750.939999999995</v>
      </c>
      <c r="Y306" s="36" t="s">
        <v>743</v>
      </c>
      <c r="AI306" s="97">
        <v>15</v>
      </c>
      <c r="AJ306" s="97" t="s">
        <v>4365</v>
      </c>
      <c r="AK306" s="115">
        <v>33225</v>
      </c>
      <c r="AL306" s="97">
        <v>0</v>
      </c>
      <c r="AM306" s="97">
        <f t="shared" si="64"/>
        <v>871</v>
      </c>
      <c r="AN306" s="97">
        <f t="shared" si="63"/>
        <v>28938975</v>
      </c>
      <c r="AO306" s="97"/>
    </row>
    <row r="307" spans="7:41">
      <c r="G307" s="205"/>
      <c r="H307" s="111"/>
      <c r="R307" s="97" t="s">
        <v>5833</v>
      </c>
      <c r="S307" s="93">
        <v>16643927.89773</v>
      </c>
      <c r="T307" t="s">
        <v>25</v>
      </c>
      <c r="U307" s="205" t="s">
        <v>5150</v>
      </c>
      <c r="V307" s="205">
        <v>-123</v>
      </c>
      <c r="W307" s="111">
        <v>485.78</v>
      </c>
      <c r="X307" s="111">
        <f t="shared" si="61"/>
        <v>-59750.939999999995</v>
      </c>
      <c r="Y307" s="36" t="s">
        <v>4406</v>
      </c>
      <c r="AI307" s="147">
        <v>16</v>
      </c>
      <c r="AJ307" s="147" t="s">
        <v>4365</v>
      </c>
      <c r="AK307" s="186">
        <v>4098523</v>
      </c>
      <c r="AL307" s="147">
        <v>2</v>
      </c>
      <c r="AM307" s="147">
        <f t="shared" si="64"/>
        <v>871</v>
      </c>
      <c r="AN307" s="147">
        <f t="shared" si="63"/>
        <v>3569813533</v>
      </c>
      <c r="AO307" s="147" t="s">
        <v>649</v>
      </c>
    </row>
    <row r="308" spans="7:41">
      <c r="G308" s="205"/>
      <c r="H308" s="111"/>
      <c r="O308" t="s">
        <v>25</v>
      </c>
      <c r="R308" s="97" t="s">
        <v>5834</v>
      </c>
      <c r="S308" s="93">
        <v>33355467.51292</v>
      </c>
      <c r="U308" s="205" t="s">
        <v>5193</v>
      </c>
      <c r="V308" s="205">
        <v>32367</v>
      </c>
      <c r="W308" s="111">
        <v>556.12900000000002</v>
      </c>
      <c r="X308" s="111">
        <f t="shared" si="61"/>
        <v>18000227.343000002</v>
      </c>
      <c r="Y308" s="36" t="s">
        <v>452</v>
      </c>
      <c r="AI308" s="147">
        <v>17</v>
      </c>
      <c r="AJ308" s="147" t="s">
        <v>4376</v>
      </c>
      <c r="AK308" s="186">
        <v>-1000000</v>
      </c>
      <c r="AL308" s="147">
        <v>7</v>
      </c>
      <c r="AM308" s="147">
        <f t="shared" si="64"/>
        <v>869</v>
      </c>
      <c r="AN308" s="147">
        <f t="shared" si="63"/>
        <v>-869000000</v>
      </c>
      <c r="AO308" s="147" t="s">
        <v>649</v>
      </c>
    </row>
    <row r="309" spans="7:41">
      <c r="G309" s="205"/>
      <c r="H309" s="111"/>
      <c r="R309" s="97" t="s">
        <v>6184</v>
      </c>
      <c r="S309" s="93">
        <v>30000000</v>
      </c>
      <c r="T309" t="s">
        <v>25</v>
      </c>
      <c r="U309" s="205" t="s">
        <v>5209</v>
      </c>
      <c r="V309" s="205">
        <v>1254</v>
      </c>
      <c r="W309" s="111">
        <v>558.24400000000003</v>
      </c>
      <c r="X309" s="111">
        <f t="shared" si="61"/>
        <v>700037.97600000002</v>
      </c>
      <c r="Y309" s="36" t="s">
        <v>4406</v>
      </c>
      <c r="AI309" s="147">
        <v>18</v>
      </c>
      <c r="AJ309" s="147" t="s">
        <v>4396</v>
      </c>
      <c r="AK309" s="186">
        <v>750000</v>
      </c>
      <c r="AL309" s="147">
        <v>1</v>
      </c>
      <c r="AM309" s="147">
        <f t="shared" si="64"/>
        <v>862</v>
      </c>
      <c r="AN309" s="147">
        <f t="shared" si="63"/>
        <v>646500000</v>
      </c>
      <c r="AO309" s="147" t="s">
        <v>649</v>
      </c>
    </row>
    <row r="310" spans="7:41">
      <c r="G310" s="205"/>
      <c r="H310" s="111"/>
      <c r="R310" s="97" t="s">
        <v>6197</v>
      </c>
      <c r="S310" s="93">
        <v>6000000</v>
      </c>
      <c r="U310" s="166" t="s">
        <v>5209</v>
      </c>
      <c r="V310" s="205">
        <v>-358</v>
      </c>
      <c r="W310" s="111">
        <v>558.24400000000003</v>
      </c>
      <c r="X310" s="111">
        <f t="shared" si="61"/>
        <v>-199851.35200000001</v>
      </c>
      <c r="Y310" s="36" t="s">
        <v>743</v>
      </c>
      <c r="AA310" t="s">
        <v>25</v>
      </c>
      <c r="AI310" s="191">
        <v>19</v>
      </c>
      <c r="AJ310" s="191" t="s">
        <v>4397</v>
      </c>
      <c r="AK310" s="192">
        <v>-604152</v>
      </c>
      <c r="AL310" s="191">
        <v>0</v>
      </c>
      <c r="AM310" s="191">
        <f t="shared" si="64"/>
        <v>861</v>
      </c>
      <c r="AN310" s="191">
        <f t="shared" si="63"/>
        <v>-520174872</v>
      </c>
      <c r="AO310" s="191" t="s">
        <v>649</v>
      </c>
    </row>
    <row r="311" spans="7:41">
      <c r="G311" s="205"/>
      <c r="H311" s="111"/>
      <c r="J311" t="s">
        <v>25</v>
      </c>
      <c r="R311" s="97" t="s">
        <v>6274</v>
      </c>
      <c r="S311" s="93">
        <v>126128.77475900001</v>
      </c>
      <c r="U311" s="187" t="s">
        <v>5228</v>
      </c>
      <c r="V311" s="187">
        <v>63259</v>
      </c>
      <c r="W311" s="186">
        <v>632.31960000000004</v>
      </c>
      <c r="X311" s="186">
        <f t="shared" si="61"/>
        <v>39999905.576400004</v>
      </c>
      <c r="Y311" s="258" t="s">
        <v>1069</v>
      </c>
      <c r="AI311" s="97">
        <v>20</v>
      </c>
      <c r="AJ311" s="97" t="s">
        <v>4398</v>
      </c>
      <c r="AK311" s="115">
        <v>-587083</v>
      </c>
      <c r="AL311" s="97">
        <v>4</v>
      </c>
      <c r="AM311" s="97">
        <f t="shared" si="64"/>
        <v>861</v>
      </c>
      <c r="AN311" s="97">
        <f t="shared" si="63"/>
        <v>-505478463</v>
      </c>
      <c r="AO311" s="97"/>
    </row>
    <row r="312" spans="7:41">
      <c r="G312" s="205"/>
      <c r="H312" s="111"/>
      <c r="J312" t="s">
        <v>25</v>
      </c>
      <c r="R312" s="97" t="s">
        <v>6853</v>
      </c>
      <c r="S312" s="93">
        <v>7000000</v>
      </c>
      <c r="U312" s="19" t="s">
        <v>5232</v>
      </c>
      <c r="V312" s="19">
        <v>-1278</v>
      </c>
      <c r="W312" s="115">
        <v>625.98</v>
      </c>
      <c r="X312" s="115">
        <f t="shared" si="61"/>
        <v>-800002.44000000006</v>
      </c>
      <c r="Y312" s="259" t="s">
        <v>5233</v>
      </c>
      <c r="AI312" s="191">
        <v>21</v>
      </c>
      <c r="AJ312" s="191" t="s">
        <v>4399</v>
      </c>
      <c r="AK312" s="192">
        <v>-754351</v>
      </c>
      <c r="AL312" s="191">
        <v>0</v>
      </c>
      <c r="AM312" s="147">
        <f t="shared" si="64"/>
        <v>857</v>
      </c>
      <c r="AN312" s="191">
        <f t="shared" si="63"/>
        <v>-646478807</v>
      </c>
      <c r="AO312" s="191" t="s">
        <v>649</v>
      </c>
    </row>
    <row r="313" spans="7:41">
      <c r="G313" s="205" t="s">
        <v>5471</v>
      </c>
      <c r="H313" s="111">
        <v>-87000000</v>
      </c>
      <c r="P313" t="s">
        <v>25</v>
      </c>
      <c r="R313" s="97"/>
      <c r="S313" s="93"/>
      <c r="T313" t="s">
        <v>25</v>
      </c>
      <c r="U313" s="19" t="s">
        <v>5237</v>
      </c>
      <c r="V313" s="19">
        <v>32049</v>
      </c>
      <c r="W313" s="115">
        <v>624.04600000000005</v>
      </c>
      <c r="X313" s="115">
        <f t="shared" si="61"/>
        <v>20000050.254000001</v>
      </c>
      <c r="Y313" s="259" t="s">
        <v>5102</v>
      </c>
      <c r="AA313" t="s">
        <v>25</v>
      </c>
      <c r="AI313" s="97">
        <v>22</v>
      </c>
      <c r="AJ313" s="97" t="s">
        <v>4399</v>
      </c>
      <c r="AK313" s="115">
        <v>-189619</v>
      </c>
      <c r="AL313" s="97">
        <v>15</v>
      </c>
      <c r="AM313" s="97">
        <f t="shared" si="64"/>
        <v>857</v>
      </c>
      <c r="AN313" s="97">
        <f t="shared" si="63"/>
        <v>-162503483</v>
      </c>
      <c r="AO313" s="97"/>
    </row>
    <row r="314" spans="7:41" ht="30">
      <c r="G314" s="205"/>
      <c r="H314" s="111"/>
      <c r="P314" t="s">
        <v>25</v>
      </c>
      <c r="R314" s="97"/>
      <c r="S314" s="93"/>
      <c r="U314" s="19" t="s">
        <v>5244</v>
      </c>
      <c r="V314" s="19">
        <v>45094</v>
      </c>
      <c r="W314" s="115">
        <v>614.13559759999998</v>
      </c>
      <c r="X314" s="115">
        <f t="shared" si="61"/>
        <v>27693830.6381744</v>
      </c>
      <c r="Y314" s="259" t="s">
        <v>5246</v>
      </c>
      <c r="Z314" t="s">
        <v>25</v>
      </c>
      <c r="AI314" s="191">
        <v>23</v>
      </c>
      <c r="AJ314" s="191" t="s">
        <v>4459</v>
      </c>
      <c r="AK314" s="186">
        <v>7100</v>
      </c>
      <c r="AL314" s="191">
        <v>0</v>
      </c>
      <c r="AM314" s="147">
        <f t="shared" si="64"/>
        <v>842</v>
      </c>
      <c r="AN314" s="191">
        <f t="shared" si="63"/>
        <v>5978200</v>
      </c>
      <c r="AO314" s="191" t="s">
        <v>649</v>
      </c>
    </row>
    <row r="315" spans="7:41" ht="30">
      <c r="G315" s="205"/>
      <c r="H315" s="1"/>
      <c r="R315" s="97"/>
      <c r="S315" s="93"/>
      <c r="U315" s="19" t="s">
        <v>5271</v>
      </c>
      <c r="V315" s="19">
        <v>-11804</v>
      </c>
      <c r="W315" s="115">
        <v>762.46640000000002</v>
      </c>
      <c r="X315" s="115">
        <f t="shared" si="61"/>
        <v>-9000153.3856000006</v>
      </c>
      <c r="Y315" s="259" t="s">
        <v>5273</v>
      </c>
      <c r="AI315" s="20">
        <v>24</v>
      </c>
      <c r="AJ315" s="20" t="s">
        <v>4459</v>
      </c>
      <c r="AK315" s="115">
        <v>-147902</v>
      </c>
      <c r="AL315" s="20">
        <v>3</v>
      </c>
      <c r="AM315" s="97">
        <f t="shared" si="64"/>
        <v>842</v>
      </c>
      <c r="AN315" s="20">
        <f t="shared" si="63"/>
        <v>-124533484</v>
      </c>
      <c r="AO315" s="20"/>
    </row>
    <row r="316" spans="7:41">
      <c r="G316" s="205"/>
      <c r="H316" s="1"/>
      <c r="R316" s="97"/>
      <c r="S316" s="93"/>
      <c r="U316" s="19" t="s">
        <v>5314</v>
      </c>
      <c r="V316" s="19">
        <v>844</v>
      </c>
      <c r="W316" s="115">
        <v>830</v>
      </c>
      <c r="X316" s="115">
        <f t="shared" si="61"/>
        <v>700520</v>
      </c>
      <c r="Y316" s="259" t="s">
        <v>4406</v>
      </c>
      <c r="Z316" t="s">
        <v>25</v>
      </c>
      <c r="AI316" s="147">
        <v>25</v>
      </c>
      <c r="AJ316" s="147" t="s">
        <v>4467</v>
      </c>
      <c r="AK316" s="186">
        <v>-37200</v>
      </c>
      <c r="AL316" s="147">
        <v>4</v>
      </c>
      <c r="AM316" s="147">
        <f t="shared" si="64"/>
        <v>839</v>
      </c>
      <c r="AN316" s="191">
        <f t="shared" si="63"/>
        <v>-31210800</v>
      </c>
      <c r="AO316" s="147" t="s">
        <v>649</v>
      </c>
    </row>
    <row r="317" spans="7:41">
      <c r="G317" s="205"/>
      <c r="H317" s="1"/>
      <c r="R317" s="97" t="s">
        <v>25</v>
      </c>
      <c r="S317" s="93"/>
      <c r="U317" s="19" t="s">
        <v>5318</v>
      </c>
      <c r="V317" s="19">
        <v>8662</v>
      </c>
      <c r="W317" s="115">
        <v>832.57011999999997</v>
      </c>
      <c r="X317" s="115">
        <f t="shared" si="61"/>
        <v>7211722.3794399993</v>
      </c>
      <c r="Y317" s="259" t="s">
        <v>5097</v>
      </c>
      <c r="AA317" t="s">
        <v>25</v>
      </c>
      <c r="AI317" s="97">
        <v>26</v>
      </c>
      <c r="AJ317" s="97" t="s">
        <v>4494</v>
      </c>
      <c r="AK317" s="115">
        <v>-372326</v>
      </c>
      <c r="AL317" s="97">
        <v>21</v>
      </c>
      <c r="AM317" s="97">
        <f t="shared" si="64"/>
        <v>835</v>
      </c>
      <c r="AN317" s="20">
        <f t="shared" si="63"/>
        <v>-310892210</v>
      </c>
      <c r="AO317" s="97"/>
    </row>
    <row r="318" spans="7:41" ht="30">
      <c r="G318" s="205" t="s">
        <v>6</v>
      </c>
      <c r="H318" s="1">
        <f>SUM(H152:H317)</f>
        <v>1559874226.7291226</v>
      </c>
      <c r="R318" s="97"/>
      <c r="S318" s="93">
        <f>SUM(S254:S317)</f>
        <v>158842622.43317199</v>
      </c>
      <c r="U318" s="19" t="s">
        <v>5319</v>
      </c>
      <c r="V318" s="19">
        <v>10253</v>
      </c>
      <c r="W318" s="115">
        <v>827.2568</v>
      </c>
      <c r="X318" s="115">
        <f t="shared" si="61"/>
        <v>8481863.9704</v>
      </c>
      <c r="Y318" s="259" t="s">
        <v>5322</v>
      </c>
      <c r="AB318" t="s">
        <v>25</v>
      </c>
      <c r="AI318" s="97">
        <v>27</v>
      </c>
      <c r="AJ318" s="97" t="s">
        <v>4541</v>
      </c>
      <c r="AK318" s="115">
        <v>235062</v>
      </c>
      <c r="AL318" s="97">
        <v>0</v>
      </c>
      <c r="AM318" s="97">
        <f t="shared" si="64"/>
        <v>814</v>
      </c>
      <c r="AN318" s="20">
        <f t="shared" si="63"/>
        <v>191340468</v>
      </c>
      <c r="AO318" s="97"/>
    </row>
    <row r="319" spans="7:41">
      <c r="G319" s="278"/>
      <c r="H319" s="1"/>
      <c r="S319" s="97" t="s">
        <v>6</v>
      </c>
      <c r="U319" s="229" t="s">
        <v>5323</v>
      </c>
      <c r="V319" s="229">
        <v>-33077</v>
      </c>
      <c r="W319" s="230">
        <v>786.02973999999995</v>
      </c>
      <c r="X319" s="230">
        <f t="shared" si="61"/>
        <v>-25999505.70998</v>
      </c>
      <c r="Y319" s="267" t="s">
        <v>5325</v>
      </c>
      <c r="AI319" s="147">
        <v>28</v>
      </c>
      <c r="AJ319" s="147" t="s">
        <v>4541</v>
      </c>
      <c r="AK319" s="186">
        <v>235062</v>
      </c>
      <c r="AL319" s="147">
        <v>9</v>
      </c>
      <c r="AM319" s="97">
        <f t="shared" si="64"/>
        <v>814</v>
      </c>
      <c r="AN319" s="147">
        <f t="shared" si="63"/>
        <v>191340468</v>
      </c>
      <c r="AO319" s="147" t="s">
        <v>649</v>
      </c>
    </row>
    <row r="320" spans="7:41">
      <c r="S320" t="s">
        <v>25</v>
      </c>
      <c r="U320" s="19" t="s">
        <v>5323</v>
      </c>
      <c r="V320" s="19">
        <v>-33077</v>
      </c>
      <c r="W320" s="115">
        <v>786.02973999999995</v>
      </c>
      <c r="X320" s="115">
        <f t="shared" si="61"/>
        <v>-25999505.70998</v>
      </c>
      <c r="Y320" s="259" t="s">
        <v>5326</v>
      </c>
      <c r="Z320" t="s">
        <v>25</v>
      </c>
      <c r="AI320" s="147">
        <v>29</v>
      </c>
      <c r="AJ320" s="147" t="s">
        <v>4559</v>
      </c>
      <c r="AK320" s="186">
        <v>450000</v>
      </c>
      <c r="AL320" s="147">
        <v>0</v>
      </c>
      <c r="AM320" s="97">
        <f t="shared" si="64"/>
        <v>805</v>
      </c>
      <c r="AN320" s="147">
        <f t="shared" si="63"/>
        <v>362250000</v>
      </c>
      <c r="AO320" s="147" t="s">
        <v>649</v>
      </c>
    </row>
    <row r="321" spans="7:45">
      <c r="R321" s="97" t="s">
        <v>452</v>
      </c>
      <c r="U321" s="19" t="s">
        <v>5323</v>
      </c>
      <c r="V321" s="19">
        <v>1983</v>
      </c>
      <c r="W321" s="115">
        <v>786.02973999999995</v>
      </c>
      <c r="X321" s="115">
        <f t="shared" si="61"/>
        <v>1558696.9744199999</v>
      </c>
      <c r="Y321" s="259" t="s">
        <v>5097</v>
      </c>
      <c r="AI321" s="20">
        <v>30</v>
      </c>
      <c r="AJ321" s="20" t="s">
        <v>4559</v>
      </c>
      <c r="AK321" s="115">
        <v>450000</v>
      </c>
      <c r="AL321" s="20">
        <v>22</v>
      </c>
      <c r="AM321" s="97">
        <f>AL321+AM322</f>
        <v>805</v>
      </c>
      <c r="AN321" s="20">
        <f t="shared" si="63"/>
        <v>362250000</v>
      </c>
      <c r="AO321" s="20"/>
    </row>
    <row r="322" spans="7:45">
      <c r="G322" s="94"/>
      <c r="H322" s="9" t="s">
        <v>452</v>
      </c>
      <c r="R322" s="97" t="s">
        <v>4399</v>
      </c>
      <c r="S322" s="97"/>
      <c r="U322" s="229" t="s">
        <v>5327</v>
      </c>
      <c r="V322" s="229">
        <v>-119753</v>
      </c>
      <c r="W322" s="230">
        <v>800.81560000000002</v>
      </c>
      <c r="X322" s="230">
        <f t="shared" si="61"/>
        <v>-95900070.546800002</v>
      </c>
      <c r="Y322" s="267" t="s">
        <v>5325</v>
      </c>
      <c r="AI322" s="147">
        <v>31</v>
      </c>
      <c r="AJ322" s="147" t="s">
        <v>4619</v>
      </c>
      <c r="AK322" s="186">
        <v>300000</v>
      </c>
      <c r="AL322" s="147">
        <v>0</v>
      </c>
      <c r="AM322" s="147">
        <f t="shared" ref="AM322:AM337" si="65">AL322+AM323</f>
        <v>783</v>
      </c>
      <c r="AN322" s="147">
        <f t="shared" ref="AN322:AN331" si="66">AK322*AM322</f>
        <v>234900000</v>
      </c>
      <c r="AO322" s="147"/>
    </row>
    <row r="323" spans="7:45" ht="30">
      <c r="G323" s="94"/>
      <c r="H323" s="9" t="s">
        <v>743</v>
      </c>
      <c r="R323" s="97" t="s">
        <v>4443</v>
      </c>
      <c r="S323" s="93">
        <v>63115000</v>
      </c>
      <c r="U323" s="19" t="s">
        <v>5327</v>
      </c>
      <c r="V323" s="19">
        <v>-119753</v>
      </c>
      <c r="W323" s="115">
        <v>800.81560000000002</v>
      </c>
      <c r="X323" s="115">
        <f t="shared" si="61"/>
        <v>-95900070.546800002</v>
      </c>
      <c r="Y323" s="259" t="s">
        <v>5326</v>
      </c>
      <c r="AI323" s="119">
        <v>32</v>
      </c>
      <c r="AJ323" s="119" t="s">
        <v>4619</v>
      </c>
      <c r="AK323" s="77">
        <v>288936</v>
      </c>
      <c r="AL323" s="119">
        <v>3</v>
      </c>
      <c r="AM323" s="119">
        <f t="shared" si="65"/>
        <v>783</v>
      </c>
      <c r="AN323" s="119">
        <f t="shared" si="66"/>
        <v>226236888</v>
      </c>
      <c r="AO323" s="200" t="s">
        <v>4630</v>
      </c>
    </row>
    <row r="324" spans="7:45">
      <c r="G324" s="94"/>
      <c r="H324" s="9" t="s">
        <v>5405</v>
      </c>
      <c r="R324" s="97" t="s">
        <v>4451</v>
      </c>
      <c r="S324" s="93">
        <v>13300000</v>
      </c>
      <c r="U324" s="19" t="s">
        <v>5327</v>
      </c>
      <c r="V324" s="19">
        <v>11291</v>
      </c>
      <c r="W324" s="115">
        <v>800.81560000000002</v>
      </c>
      <c r="X324" s="115">
        <f t="shared" si="61"/>
        <v>9042008.9396000002</v>
      </c>
      <c r="Y324" s="259" t="s">
        <v>452</v>
      </c>
      <c r="AB324" t="s">
        <v>25</v>
      </c>
      <c r="AI324" s="119">
        <v>33</v>
      </c>
      <c r="AJ324" s="119" t="s">
        <v>4628</v>
      </c>
      <c r="AK324" s="77">
        <v>17962491</v>
      </c>
      <c r="AL324" s="119">
        <v>1</v>
      </c>
      <c r="AM324" s="119">
        <f t="shared" si="65"/>
        <v>780</v>
      </c>
      <c r="AN324" s="119">
        <f t="shared" si="66"/>
        <v>14010742980</v>
      </c>
      <c r="AO324" s="119" t="s">
        <v>4635</v>
      </c>
    </row>
    <row r="325" spans="7:45">
      <c r="G325" s="94"/>
      <c r="H325" s="9" t="s">
        <v>1069</v>
      </c>
      <c r="R325" s="97" t="s">
        <v>4549</v>
      </c>
      <c r="S325" s="93">
        <v>2269000</v>
      </c>
      <c r="U325" s="187" t="s">
        <v>5328</v>
      </c>
      <c r="V325" s="187">
        <v>-35361</v>
      </c>
      <c r="W325" s="186">
        <v>818.697</v>
      </c>
      <c r="X325" s="186">
        <f t="shared" si="61"/>
        <v>-28949944.616999999</v>
      </c>
      <c r="Y325" s="258" t="s">
        <v>5325</v>
      </c>
      <c r="Z325" t="s">
        <v>25</v>
      </c>
      <c r="AI325" s="119">
        <v>34</v>
      </c>
      <c r="AJ325" s="119" t="s">
        <v>3666</v>
      </c>
      <c r="AK325" s="77">
        <v>18363511</v>
      </c>
      <c r="AL325" s="119">
        <v>1</v>
      </c>
      <c r="AM325" s="119">
        <f t="shared" si="65"/>
        <v>779</v>
      </c>
      <c r="AN325" s="119">
        <f t="shared" si="66"/>
        <v>14305175069</v>
      </c>
      <c r="AO325" s="119" t="s">
        <v>4635</v>
      </c>
    </row>
    <row r="326" spans="7:45">
      <c r="H326" s="9" t="s">
        <v>5343</v>
      </c>
      <c r="R326" s="97" t="s">
        <v>4558</v>
      </c>
      <c r="S326" s="93">
        <v>25071612</v>
      </c>
      <c r="U326" s="19" t="s">
        <v>5328</v>
      </c>
      <c r="V326" s="19">
        <v>-35361</v>
      </c>
      <c r="W326" s="115">
        <v>818.697</v>
      </c>
      <c r="X326" s="115">
        <f t="shared" si="61"/>
        <v>-28949944.616999999</v>
      </c>
      <c r="Y326" s="259" t="s">
        <v>5326</v>
      </c>
      <c r="Z326" t="s">
        <v>25</v>
      </c>
      <c r="AA326" t="s">
        <v>25</v>
      </c>
      <c r="AI326" s="119">
        <v>35</v>
      </c>
      <c r="AJ326" s="119" t="s">
        <v>4640</v>
      </c>
      <c r="AK326" s="77">
        <v>23622417</v>
      </c>
      <c r="AL326" s="119">
        <v>5</v>
      </c>
      <c r="AM326" s="119">
        <f t="shared" si="65"/>
        <v>778</v>
      </c>
      <c r="AN326" s="119">
        <f t="shared" si="66"/>
        <v>18378240426</v>
      </c>
      <c r="AO326" s="119" t="s">
        <v>4642</v>
      </c>
    </row>
    <row r="327" spans="7:45">
      <c r="H327" s="9" t="s">
        <v>5505</v>
      </c>
      <c r="R327" s="97" t="s">
        <v>4559</v>
      </c>
      <c r="S327" s="93">
        <v>42236984</v>
      </c>
      <c r="U327" s="19" t="s">
        <v>5328</v>
      </c>
      <c r="V327" s="19">
        <v>116</v>
      </c>
      <c r="W327" s="115">
        <v>818.697</v>
      </c>
      <c r="X327" s="115">
        <f t="shared" si="61"/>
        <v>94968.851999999999</v>
      </c>
      <c r="Y327" s="259" t="s">
        <v>5097</v>
      </c>
      <c r="AI327" s="119">
        <v>36</v>
      </c>
      <c r="AJ327" s="119" t="s">
        <v>4653</v>
      </c>
      <c r="AK327" s="77">
        <v>82496108</v>
      </c>
      <c r="AL327" s="119">
        <v>1</v>
      </c>
      <c r="AM327" s="119">
        <f t="shared" si="65"/>
        <v>773</v>
      </c>
      <c r="AN327" s="119">
        <f t="shared" si="66"/>
        <v>63769491484</v>
      </c>
      <c r="AO327" s="119" t="s">
        <v>4656</v>
      </c>
    </row>
    <row r="328" spans="7:45">
      <c r="H328" s="279" t="s">
        <v>5506</v>
      </c>
      <c r="R328" s="97" t="s">
        <v>4580</v>
      </c>
      <c r="S328" s="93">
        <v>19663646</v>
      </c>
      <c r="U328" s="19" t="s">
        <v>5332</v>
      </c>
      <c r="V328" s="19">
        <v>48633</v>
      </c>
      <c r="W328" s="115">
        <v>822.47199999999998</v>
      </c>
      <c r="X328" s="115">
        <f t="shared" si="61"/>
        <v>39999280.776000001</v>
      </c>
      <c r="Y328" s="259" t="s">
        <v>5335</v>
      </c>
      <c r="AB328" t="s">
        <v>25</v>
      </c>
      <c r="AI328" s="119">
        <v>37</v>
      </c>
      <c r="AJ328" s="119" t="s">
        <v>4655</v>
      </c>
      <c r="AK328" s="77">
        <v>74657561</v>
      </c>
      <c r="AL328" s="119">
        <v>16</v>
      </c>
      <c r="AM328" s="119">
        <f t="shared" si="65"/>
        <v>772</v>
      </c>
      <c r="AN328" s="119">
        <f t="shared" si="66"/>
        <v>57635637092</v>
      </c>
      <c r="AO328" s="119" t="s">
        <v>4661</v>
      </c>
    </row>
    <row r="329" spans="7:45">
      <c r="H329" s="279" t="s">
        <v>743</v>
      </c>
      <c r="R329" s="97" t="s">
        <v>4591</v>
      </c>
      <c r="S329" s="93">
        <v>4374525</v>
      </c>
      <c r="T329" s="112"/>
      <c r="U329" s="19" t="s">
        <v>5332</v>
      </c>
      <c r="V329" s="19">
        <v>3412</v>
      </c>
      <c r="W329" s="115">
        <v>822.47199999999998</v>
      </c>
      <c r="X329" s="115">
        <f t="shared" si="61"/>
        <v>2806274.4640000002</v>
      </c>
      <c r="Y329" s="259" t="s">
        <v>5337</v>
      </c>
      <c r="AI329" s="97">
        <v>38</v>
      </c>
      <c r="AJ329" s="97" t="s">
        <v>4724</v>
      </c>
      <c r="AK329" s="115">
        <v>665000</v>
      </c>
      <c r="AL329" s="97">
        <v>0</v>
      </c>
      <c r="AM329" s="97">
        <f t="shared" si="65"/>
        <v>756</v>
      </c>
      <c r="AN329" s="20">
        <f t="shared" si="66"/>
        <v>502740000</v>
      </c>
      <c r="AO329" s="97"/>
    </row>
    <row r="330" spans="7:45">
      <c r="H330" s="9" t="s">
        <v>5507</v>
      </c>
      <c r="R330" s="97" t="s">
        <v>4593</v>
      </c>
      <c r="S330" s="93">
        <v>6550580</v>
      </c>
      <c r="U330" s="19" t="s">
        <v>5333</v>
      </c>
      <c r="V330" s="19">
        <v>1531</v>
      </c>
      <c r="W330" s="115">
        <v>869.82500000000005</v>
      </c>
      <c r="X330" s="115">
        <f t="shared" si="61"/>
        <v>1331702.075</v>
      </c>
      <c r="Y330" s="259" t="s">
        <v>5338</v>
      </c>
      <c r="AI330" s="147">
        <v>39</v>
      </c>
      <c r="AJ330" s="147" t="s">
        <v>4724</v>
      </c>
      <c r="AK330" s="186">
        <v>665000</v>
      </c>
      <c r="AL330" s="147">
        <v>4</v>
      </c>
      <c r="AM330" s="191">
        <f t="shared" si="65"/>
        <v>756</v>
      </c>
      <c r="AN330" s="191">
        <f t="shared" si="66"/>
        <v>502740000</v>
      </c>
      <c r="AO330" s="191"/>
    </row>
    <row r="331" spans="7:45">
      <c r="H331" s="9" t="s">
        <v>5508</v>
      </c>
      <c r="R331" s="97" t="s">
        <v>4606</v>
      </c>
      <c r="S331" s="93">
        <v>7054895</v>
      </c>
      <c r="U331" s="19" t="s">
        <v>5341</v>
      </c>
      <c r="V331" s="19">
        <v>1019</v>
      </c>
      <c r="W331" s="115">
        <v>835.36580000000004</v>
      </c>
      <c r="X331" s="115">
        <f t="shared" si="61"/>
        <v>851237.75020000001</v>
      </c>
      <c r="Y331" s="259" t="s">
        <v>452</v>
      </c>
      <c r="AI331" s="20">
        <v>40</v>
      </c>
      <c r="AJ331" s="20" t="s">
        <v>4733</v>
      </c>
      <c r="AK331" s="115">
        <v>2000000</v>
      </c>
      <c r="AL331" s="20">
        <v>1</v>
      </c>
      <c r="AM331" s="97">
        <f t="shared" si="65"/>
        <v>752</v>
      </c>
      <c r="AN331" s="20">
        <f t="shared" si="66"/>
        <v>1504000000</v>
      </c>
      <c r="AO331" s="97"/>
    </row>
    <row r="332" spans="7:45">
      <c r="H332" s="9" t="s">
        <v>5535</v>
      </c>
      <c r="R332" s="97" t="s">
        <v>4617</v>
      </c>
      <c r="S332" s="93">
        <v>2145814</v>
      </c>
      <c r="U332" s="187" t="s">
        <v>5347</v>
      </c>
      <c r="V332" s="187">
        <v>2316</v>
      </c>
      <c r="W332" s="186">
        <v>818.697</v>
      </c>
      <c r="X332" s="186">
        <f t="shared" si="61"/>
        <v>1896102.2520000001</v>
      </c>
      <c r="Y332" s="258" t="s">
        <v>5350</v>
      </c>
      <c r="AI332" s="20">
        <v>41</v>
      </c>
      <c r="AJ332" s="20" t="s">
        <v>4738</v>
      </c>
      <c r="AK332" s="115">
        <v>-2060725</v>
      </c>
      <c r="AL332" s="20">
        <v>0</v>
      </c>
      <c r="AM332" s="97">
        <f t="shared" si="65"/>
        <v>751</v>
      </c>
      <c r="AN332" s="20">
        <f t="shared" ref="AN332:AN337" si="67">AK332*AM332</f>
        <v>-1547604475</v>
      </c>
      <c r="AO332" s="97" t="s">
        <v>4739</v>
      </c>
      <c r="AS332" t="s">
        <v>25</v>
      </c>
    </row>
    <row r="333" spans="7:45">
      <c r="H333" s="279"/>
      <c r="R333" s="97" t="s">
        <v>4619</v>
      </c>
      <c r="S333" s="93">
        <v>4369730</v>
      </c>
      <c r="U333" s="19" t="s">
        <v>5353</v>
      </c>
      <c r="V333" s="19">
        <v>315</v>
      </c>
      <c r="W333" s="115">
        <v>680</v>
      </c>
      <c r="X333" s="115">
        <f t="shared" si="61"/>
        <v>214200</v>
      </c>
      <c r="Y333" s="259" t="s">
        <v>5097</v>
      </c>
      <c r="AI333" s="147">
        <v>42</v>
      </c>
      <c r="AJ333" s="147" t="s">
        <v>4738</v>
      </c>
      <c r="AK333" s="186">
        <v>-433375</v>
      </c>
      <c r="AL333" s="147">
        <v>0</v>
      </c>
      <c r="AM333" s="147">
        <f t="shared" si="65"/>
        <v>751</v>
      </c>
      <c r="AN333" s="147">
        <f t="shared" si="67"/>
        <v>-325464625</v>
      </c>
      <c r="AO333" s="147" t="s">
        <v>4740</v>
      </c>
    </row>
    <row r="334" spans="7:45">
      <c r="R334" s="97" t="s">
        <v>4628</v>
      </c>
      <c r="S334" s="93">
        <v>8739459</v>
      </c>
      <c r="U334" s="19" t="s">
        <v>5375</v>
      </c>
      <c r="V334" s="19">
        <v>832</v>
      </c>
      <c r="W334" s="115">
        <v>784.36500000000001</v>
      </c>
      <c r="X334" s="115">
        <f t="shared" si="61"/>
        <v>652591.68000000005</v>
      </c>
      <c r="Y334" s="259" t="s">
        <v>5097</v>
      </c>
      <c r="Z334" t="s">
        <v>25</v>
      </c>
      <c r="AI334" s="20">
        <v>43</v>
      </c>
      <c r="AJ334" s="20" t="s">
        <v>4738</v>
      </c>
      <c r="AK334" s="115">
        <v>28000000</v>
      </c>
      <c r="AL334" s="20">
        <v>1</v>
      </c>
      <c r="AM334" s="97">
        <f t="shared" si="65"/>
        <v>751</v>
      </c>
      <c r="AN334" s="20">
        <f t="shared" si="67"/>
        <v>21028000000</v>
      </c>
      <c r="AO334" s="97" t="s">
        <v>3873</v>
      </c>
    </row>
    <row r="335" spans="7:45">
      <c r="R335" s="97" t="s">
        <v>3666</v>
      </c>
      <c r="S335" s="93">
        <v>6667654</v>
      </c>
      <c r="U335" s="19" t="s">
        <v>5418</v>
      </c>
      <c r="V335" s="19">
        <v>382</v>
      </c>
      <c r="W335" s="115">
        <v>1450.6065000000001</v>
      </c>
      <c r="X335" s="115">
        <f t="shared" si="61"/>
        <v>554131.68300000008</v>
      </c>
      <c r="Y335" s="259" t="s">
        <v>5097</v>
      </c>
      <c r="Z335" t="s">
        <v>25</v>
      </c>
      <c r="AI335" s="20">
        <v>44</v>
      </c>
      <c r="AJ335" s="20" t="s">
        <v>4747</v>
      </c>
      <c r="AK335" s="115">
        <v>160000</v>
      </c>
      <c r="AL335" s="20">
        <v>0</v>
      </c>
      <c r="AM335" s="97">
        <f t="shared" si="65"/>
        <v>750</v>
      </c>
      <c r="AN335" s="20">
        <f t="shared" si="67"/>
        <v>120000000</v>
      </c>
      <c r="AO335" s="97"/>
    </row>
    <row r="336" spans="7:45">
      <c r="R336" s="97" t="s">
        <v>4640</v>
      </c>
      <c r="S336" s="93">
        <v>8981245</v>
      </c>
      <c r="U336" s="19" t="s">
        <v>5419</v>
      </c>
      <c r="V336" s="19">
        <v>50047</v>
      </c>
      <c r="W336" s="115">
        <v>1406.14</v>
      </c>
      <c r="X336" s="115">
        <f t="shared" si="61"/>
        <v>70373088.579999998</v>
      </c>
      <c r="Y336" s="259" t="s">
        <v>5097</v>
      </c>
      <c r="AA336" t="s">
        <v>25</v>
      </c>
      <c r="AI336" s="147">
        <v>45</v>
      </c>
      <c r="AJ336" s="147" t="s">
        <v>4747</v>
      </c>
      <c r="AK336" s="186">
        <v>70000</v>
      </c>
      <c r="AL336" s="147">
        <v>9</v>
      </c>
      <c r="AM336" s="147">
        <f t="shared" si="65"/>
        <v>750</v>
      </c>
      <c r="AN336" s="147">
        <f t="shared" si="67"/>
        <v>52500000</v>
      </c>
      <c r="AO336" s="147"/>
      <c r="AS336" t="s">
        <v>25</v>
      </c>
    </row>
    <row r="337" spans="18:47">
      <c r="R337" s="97" t="s">
        <v>4643</v>
      </c>
      <c r="S337" s="93">
        <v>9181756</v>
      </c>
      <c r="U337" s="19" t="s">
        <v>5420</v>
      </c>
      <c r="V337" s="19">
        <v>846</v>
      </c>
      <c r="W337" s="115">
        <v>1441.6724569999999</v>
      </c>
      <c r="X337" s="115">
        <f t="shared" si="61"/>
        <v>1219654.8986219999</v>
      </c>
      <c r="Y337" s="259" t="s">
        <v>5097</v>
      </c>
      <c r="Z337" t="s">
        <v>25</v>
      </c>
      <c r="AA337" t="s">
        <v>25</v>
      </c>
      <c r="AI337" s="20">
        <v>46</v>
      </c>
      <c r="AJ337" s="20" t="s">
        <v>4753</v>
      </c>
      <c r="AK337" s="115">
        <v>850000</v>
      </c>
      <c r="AL337" s="20">
        <v>0</v>
      </c>
      <c r="AM337" s="97">
        <f t="shared" si="65"/>
        <v>741</v>
      </c>
      <c r="AN337" s="20">
        <f t="shared" si="67"/>
        <v>629850000</v>
      </c>
      <c r="AO337" s="97"/>
      <c r="AT337" t="s">
        <v>25</v>
      </c>
    </row>
    <row r="338" spans="18:47">
      <c r="R338" s="97" t="s">
        <v>4655</v>
      </c>
      <c r="S338" s="93">
        <v>11811208</v>
      </c>
      <c r="U338" s="19" t="s">
        <v>5421</v>
      </c>
      <c r="V338" s="19">
        <v>10573</v>
      </c>
      <c r="W338" s="115">
        <v>1451.825</v>
      </c>
      <c r="X338" s="115">
        <f t="shared" si="61"/>
        <v>15350145.725</v>
      </c>
      <c r="Y338" s="259" t="s">
        <v>5097</v>
      </c>
      <c r="Z338" t="s">
        <v>25</v>
      </c>
      <c r="AI338" s="191">
        <v>47</v>
      </c>
      <c r="AJ338" s="191" t="s">
        <v>4753</v>
      </c>
      <c r="AK338" s="192">
        <v>20000</v>
      </c>
      <c r="AL338" s="191">
        <v>4</v>
      </c>
      <c r="AM338" s="191">
        <f t="shared" ref="AM338:AM346" si="68">AL338+AM339</f>
        <v>741</v>
      </c>
      <c r="AN338" s="191">
        <f t="shared" ref="AN338:AN346" si="69">AK338*AM338</f>
        <v>14820000</v>
      </c>
      <c r="AO338" s="191"/>
      <c r="AS338" t="s">
        <v>25</v>
      </c>
      <c r="AU338" s="94" t="s">
        <v>25</v>
      </c>
    </row>
    <row r="339" spans="18:47" ht="30">
      <c r="R339" s="97" t="s">
        <v>4662</v>
      </c>
      <c r="S339" s="93">
        <v>41248054</v>
      </c>
      <c r="U339" s="19" t="s">
        <v>5422</v>
      </c>
      <c r="V339" s="19">
        <v>85</v>
      </c>
      <c r="W339" s="115">
        <v>1423.74</v>
      </c>
      <c r="X339" s="115">
        <f t="shared" si="61"/>
        <v>121017.9</v>
      </c>
      <c r="Y339" s="259" t="s">
        <v>5423</v>
      </c>
      <c r="Z339" t="s">
        <v>25</v>
      </c>
      <c r="AI339" s="191">
        <v>48</v>
      </c>
      <c r="AJ339" s="191" t="s">
        <v>4766</v>
      </c>
      <c r="AK339" s="192">
        <v>30000000</v>
      </c>
      <c r="AL339" s="191">
        <v>27</v>
      </c>
      <c r="AM339" s="191">
        <f t="shared" si="68"/>
        <v>737</v>
      </c>
      <c r="AN339" s="191">
        <f t="shared" si="69"/>
        <v>22110000000</v>
      </c>
      <c r="AO339" s="191" t="s">
        <v>4767</v>
      </c>
      <c r="AT339" t="s">
        <v>25</v>
      </c>
    </row>
    <row r="340" spans="18:47" ht="30">
      <c r="R340" s="97" t="s">
        <v>4668</v>
      </c>
      <c r="S340" s="93">
        <v>37328780</v>
      </c>
      <c r="U340" s="19" t="s">
        <v>5426</v>
      </c>
      <c r="V340" s="19">
        <v>738</v>
      </c>
      <c r="W340" s="115">
        <v>1388.87895</v>
      </c>
      <c r="X340" s="115">
        <f t="shared" si="61"/>
        <v>1024992.6651</v>
      </c>
      <c r="Y340" s="259" t="s">
        <v>5430</v>
      </c>
      <c r="Z340" t="s">
        <v>25</v>
      </c>
      <c r="AI340" s="20">
        <v>49</v>
      </c>
      <c r="AJ340" s="20" t="s">
        <v>4834</v>
      </c>
      <c r="AK340" s="115">
        <v>1100000</v>
      </c>
      <c r="AL340" s="20">
        <v>1</v>
      </c>
      <c r="AM340" s="20">
        <f t="shared" si="68"/>
        <v>710</v>
      </c>
      <c r="AN340" s="20">
        <f t="shared" si="69"/>
        <v>781000000</v>
      </c>
      <c r="AO340" s="20"/>
    </row>
    <row r="341" spans="18:47">
      <c r="R341" s="97" t="s">
        <v>4724</v>
      </c>
      <c r="S341" s="93">
        <v>50000000</v>
      </c>
      <c r="U341" s="19" t="s">
        <v>5438</v>
      </c>
      <c r="V341" s="19">
        <v>1442</v>
      </c>
      <c r="W341" s="115">
        <v>1350.9547279999999</v>
      </c>
      <c r="X341" s="115">
        <f t="shared" si="61"/>
        <v>1948076.7177759998</v>
      </c>
      <c r="Y341" s="259" t="s">
        <v>5097</v>
      </c>
      <c r="AB341" t="s">
        <v>25</v>
      </c>
      <c r="AI341" s="20">
        <v>50</v>
      </c>
      <c r="AJ341" s="20" t="s">
        <v>4835</v>
      </c>
      <c r="AK341" s="115">
        <v>450000</v>
      </c>
      <c r="AL341" s="20">
        <v>0</v>
      </c>
      <c r="AM341" s="20">
        <f t="shared" si="68"/>
        <v>709</v>
      </c>
      <c r="AN341" s="20">
        <f t="shared" si="69"/>
        <v>319050000</v>
      </c>
      <c r="AO341" s="20"/>
    </row>
    <row r="342" spans="18:47">
      <c r="R342" s="97" t="s">
        <v>4733</v>
      </c>
      <c r="S342" s="93">
        <v>68656</v>
      </c>
      <c r="U342" s="19" t="s">
        <v>5439</v>
      </c>
      <c r="V342" s="19">
        <v>36847</v>
      </c>
      <c r="W342" s="115">
        <v>1356.9658300000001</v>
      </c>
      <c r="X342" s="115">
        <f t="shared" si="61"/>
        <v>50000119.938010007</v>
      </c>
      <c r="Y342" s="259" t="s">
        <v>5102</v>
      </c>
      <c r="AI342" s="147">
        <v>51</v>
      </c>
      <c r="AJ342" s="147" t="s">
        <v>4835</v>
      </c>
      <c r="AK342" s="186">
        <v>550000</v>
      </c>
      <c r="AL342" s="147">
        <v>1</v>
      </c>
      <c r="AM342" s="147">
        <f t="shared" si="68"/>
        <v>709</v>
      </c>
      <c r="AN342" s="147">
        <f t="shared" si="69"/>
        <v>389950000</v>
      </c>
      <c r="AO342" s="147"/>
    </row>
    <row r="343" spans="18:47" ht="30">
      <c r="R343" s="97" t="s">
        <v>4733</v>
      </c>
      <c r="S343" s="93">
        <v>4000236</v>
      </c>
      <c r="U343" s="19" t="s">
        <v>5440</v>
      </c>
      <c r="V343" s="19">
        <v>13738</v>
      </c>
      <c r="W343" s="115">
        <v>1455.82</v>
      </c>
      <c r="X343" s="115">
        <f t="shared" si="61"/>
        <v>20000055.16</v>
      </c>
      <c r="Y343" s="259" t="s">
        <v>5456</v>
      </c>
      <c r="Z343" t="s">
        <v>25</v>
      </c>
      <c r="AB343" t="s">
        <v>25</v>
      </c>
      <c r="AI343" s="147">
        <v>52</v>
      </c>
      <c r="AJ343" s="147" t="s">
        <v>4837</v>
      </c>
      <c r="AK343" s="186">
        <v>1000000</v>
      </c>
      <c r="AL343" s="147">
        <v>8</v>
      </c>
      <c r="AM343" s="147">
        <f t="shared" si="68"/>
        <v>708</v>
      </c>
      <c r="AN343" s="147">
        <f t="shared" si="69"/>
        <v>708000000</v>
      </c>
      <c r="AO343" s="147"/>
    </row>
    <row r="344" spans="18:47">
      <c r="R344" s="97" t="s">
        <v>4738</v>
      </c>
      <c r="S344" s="93">
        <v>2250000</v>
      </c>
      <c r="U344" s="19" t="s">
        <v>5463</v>
      </c>
      <c r="V344" s="19">
        <v>3100</v>
      </c>
      <c r="W344" s="115">
        <v>1853.4507470000001</v>
      </c>
      <c r="X344" s="115">
        <f t="shared" si="61"/>
        <v>5745697.3157000002</v>
      </c>
      <c r="Y344" s="259" t="s">
        <v>5097</v>
      </c>
      <c r="Z344" t="s">
        <v>25</v>
      </c>
      <c r="AI344" s="20">
        <v>53</v>
      </c>
      <c r="AJ344" s="20" t="s">
        <v>4846</v>
      </c>
      <c r="AK344" s="115">
        <v>-2668880</v>
      </c>
      <c r="AL344" s="20">
        <v>0</v>
      </c>
      <c r="AM344" s="20">
        <f t="shared" si="68"/>
        <v>700</v>
      </c>
      <c r="AN344" s="20">
        <f t="shared" si="69"/>
        <v>-1868216000</v>
      </c>
      <c r="AO344" s="20" t="s">
        <v>4848</v>
      </c>
    </row>
    <row r="345" spans="18:47">
      <c r="R345" s="97" t="s">
        <v>4747</v>
      </c>
      <c r="S345" s="93">
        <v>-2512200</v>
      </c>
      <c r="U345" s="19" t="s">
        <v>5464</v>
      </c>
      <c r="V345" s="19">
        <v>480</v>
      </c>
      <c r="W345" s="115">
        <v>1891.9962069999999</v>
      </c>
      <c r="X345" s="115">
        <f t="shared" si="61"/>
        <v>908158.17935999995</v>
      </c>
      <c r="Y345" s="259" t="s">
        <v>5097</v>
      </c>
      <c r="Z345" t="s">
        <v>25</v>
      </c>
      <c r="AI345" s="147">
        <v>54</v>
      </c>
      <c r="AJ345" s="147" t="s">
        <v>4846</v>
      </c>
      <c r="AK345" s="186">
        <v>-1528620</v>
      </c>
      <c r="AL345" s="147">
        <v>0</v>
      </c>
      <c r="AM345" s="147">
        <f t="shared" si="68"/>
        <v>700</v>
      </c>
      <c r="AN345" s="147">
        <f t="shared" si="69"/>
        <v>-1070034000</v>
      </c>
      <c r="AO345" s="147" t="s">
        <v>4848</v>
      </c>
    </row>
    <row r="346" spans="18:47">
      <c r="R346" s="97" t="s">
        <v>964</v>
      </c>
      <c r="S346" s="93">
        <v>300000</v>
      </c>
      <c r="U346" s="19" t="s">
        <v>5465</v>
      </c>
      <c r="V346" s="19">
        <v>6522</v>
      </c>
      <c r="W346" s="115">
        <v>1938.4694340000001</v>
      </c>
      <c r="X346" s="115">
        <f t="shared" si="61"/>
        <v>12642697.648548001</v>
      </c>
      <c r="Y346" s="259" t="s">
        <v>5097</v>
      </c>
      <c r="AI346" s="20">
        <v>55</v>
      </c>
      <c r="AJ346" s="20" t="s">
        <v>4846</v>
      </c>
      <c r="AK346" s="115">
        <v>50000000</v>
      </c>
      <c r="AL346" s="20">
        <v>4</v>
      </c>
      <c r="AM346" s="20">
        <f t="shared" si="68"/>
        <v>700</v>
      </c>
      <c r="AN346" s="20">
        <f t="shared" si="69"/>
        <v>35000000000</v>
      </c>
      <c r="AO346" s="20"/>
    </row>
    <row r="347" spans="18:47">
      <c r="R347" s="97" t="s">
        <v>4753</v>
      </c>
      <c r="S347" s="93">
        <v>1100000</v>
      </c>
      <c r="U347" s="19" t="s">
        <v>5466</v>
      </c>
      <c r="V347" s="19">
        <v>6197</v>
      </c>
      <c r="W347" s="115">
        <v>1984.3985499999999</v>
      </c>
      <c r="X347" s="115">
        <f t="shared" si="61"/>
        <v>12297317.81435</v>
      </c>
      <c r="Y347" s="259" t="s">
        <v>5097</v>
      </c>
      <c r="AB347" t="s">
        <v>25</v>
      </c>
      <c r="AI347" s="20">
        <v>56</v>
      </c>
      <c r="AJ347" s="20" t="s">
        <v>4852</v>
      </c>
      <c r="AK347" s="115">
        <v>400000</v>
      </c>
      <c r="AL347" s="20">
        <v>4</v>
      </c>
      <c r="AM347" s="20">
        <f t="shared" ref="AM347:AM356" si="70">AL347+AM348</f>
        <v>696</v>
      </c>
      <c r="AN347" s="20">
        <f t="shared" ref="AN347:AN356" si="71">AK347*AM347</f>
        <v>278400000</v>
      </c>
      <c r="AO347" s="20"/>
    </row>
    <row r="348" spans="18:47">
      <c r="R348" s="97" t="s">
        <v>4773</v>
      </c>
      <c r="S348" s="93">
        <v>890000</v>
      </c>
      <c r="U348" s="19" t="s">
        <v>5467</v>
      </c>
      <c r="V348" s="19">
        <v>4646</v>
      </c>
      <c r="W348" s="115">
        <v>1928.464023</v>
      </c>
      <c r="X348" s="115">
        <f t="shared" si="61"/>
        <v>8959643.8508579992</v>
      </c>
      <c r="Y348" s="259" t="s">
        <v>5097</v>
      </c>
      <c r="AA348" t="s">
        <v>25</v>
      </c>
      <c r="AB348" t="s">
        <v>25</v>
      </c>
      <c r="AI348" s="20">
        <v>57</v>
      </c>
      <c r="AJ348" s="20" t="s">
        <v>4861</v>
      </c>
      <c r="AK348" s="115">
        <v>2000000</v>
      </c>
      <c r="AL348" s="20">
        <v>3</v>
      </c>
      <c r="AM348" s="20">
        <f t="shared" si="70"/>
        <v>692</v>
      </c>
      <c r="AN348" s="20">
        <f t="shared" si="71"/>
        <v>1384000000</v>
      </c>
      <c r="AO348" s="20"/>
    </row>
    <row r="349" spans="18:47">
      <c r="R349" s="97" t="s">
        <v>4774</v>
      </c>
      <c r="S349" s="93">
        <v>1000000</v>
      </c>
      <c r="U349" s="19" t="s">
        <v>5468</v>
      </c>
      <c r="V349" s="19">
        <v>7668</v>
      </c>
      <c r="W349" s="115">
        <v>1976.2774959999999</v>
      </c>
      <c r="X349" s="115">
        <f t="shared" si="61"/>
        <v>15154095.839328</v>
      </c>
      <c r="Y349" s="259" t="s">
        <v>5097</v>
      </c>
      <c r="AI349" s="20">
        <v>58</v>
      </c>
      <c r="AJ349" s="20" t="s">
        <v>4864</v>
      </c>
      <c r="AK349" s="115">
        <v>100000</v>
      </c>
      <c r="AL349" s="20">
        <v>4</v>
      </c>
      <c r="AM349" s="20">
        <f t="shared" si="70"/>
        <v>689</v>
      </c>
      <c r="AN349" s="20">
        <f t="shared" si="71"/>
        <v>68900000</v>
      </c>
      <c r="AO349" s="20" t="s">
        <v>3873</v>
      </c>
    </row>
    <row r="350" spans="18:47" ht="30">
      <c r="R350" s="97" t="s">
        <v>4774</v>
      </c>
      <c r="S350" s="93">
        <v>45436311</v>
      </c>
      <c r="U350" s="19" t="s">
        <v>5475</v>
      </c>
      <c r="V350" s="19">
        <v>-43325</v>
      </c>
      <c r="W350" s="115">
        <v>2146.5548840000001</v>
      </c>
      <c r="X350" s="115">
        <f t="shared" si="61"/>
        <v>-92999490.349300012</v>
      </c>
      <c r="Y350" s="259" t="s">
        <v>5476</v>
      </c>
      <c r="Z350" t="s">
        <v>25</v>
      </c>
      <c r="AI350" s="20">
        <v>59</v>
      </c>
      <c r="AJ350" s="20" t="s">
        <v>4871</v>
      </c>
      <c r="AK350" s="115">
        <v>100000</v>
      </c>
      <c r="AL350" s="20">
        <v>7</v>
      </c>
      <c r="AM350" s="20">
        <f t="shared" si="70"/>
        <v>685</v>
      </c>
      <c r="AN350" s="20">
        <f t="shared" si="71"/>
        <v>68500000</v>
      </c>
      <c r="AO350" s="20"/>
    </row>
    <row r="351" spans="18:47">
      <c r="R351" s="97" t="s">
        <v>4786</v>
      </c>
      <c r="S351" s="93">
        <v>-3500000</v>
      </c>
      <c r="U351" s="19" t="s">
        <v>5483</v>
      </c>
      <c r="V351" s="19">
        <v>20888</v>
      </c>
      <c r="W351" s="115">
        <v>2428.4521530000002</v>
      </c>
      <c r="X351" s="115">
        <f t="shared" si="61"/>
        <v>50725508.571864001</v>
      </c>
      <c r="Y351" s="259" t="s">
        <v>5097</v>
      </c>
      <c r="AI351" s="20">
        <v>60</v>
      </c>
      <c r="AJ351" s="20" t="s">
        <v>4884</v>
      </c>
      <c r="AK351" s="115">
        <v>50000</v>
      </c>
      <c r="AL351" s="20">
        <v>0</v>
      </c>
      <c r="AM351" s="20">
        <f t="shared" si="70"/>
        <v>678</v>
      </c>
      <c r="AN351" s="20">
        <f t="shared" si="71"/>
        <v>33900000</v>
      </c>
      <c r="AO351" s="20"/>
    </row>
    <row r="352" spans="18:47">
      <c r="R352" s="97" t="s">
        <v>4821</v>
      </c>
      <c r="S352" s="93">
        <v>2520000</v>
      </c>
      <c r="U352" s="19" t="s">
        <v>5484</v>
      </c>
      <c r="V352" s="19">
        <v>21663</v>
      </c>
      <c r="W352" s="115">
        <v>2308.0067819999999</v>
      </c>
      <c r="X352" s="115">
        <f t="shared" si="61"/>
        <v>49998350.918466002</v>
      </c>
      <c r="Y352" s="259" t="s">
        <v>5487</v>
      </c>
      <c r="Z352" t="s">
        <v>25</v>
      </c>
      <c r="AI352" s="147">
        <v>61</v>
      </c>
      <c r="AJ352" s="147" t="s">
        <v>4884</v>
      </c>
      <c r="AK352" s="186">
        <v>50000</v>
      </c>
      <c r="AL352" s="147">
        <v>3</v>
      </c>
      <c r="AM352" s="147">
        <f t="shared" si="70"/>
        <v>678</v>
      </c>
      <c r="AN352" s="147">
        <f t="shared" si="71"/>
        <v>33900000</v>
      </c>
      <c r="AO352" s="147"/>
    </row>
    <row r="353" spans="18:46">
      <c r="R353" s="97" t="s">
        <v>4834</v>
      </c>
      <c r="S353" s="93">
        <v>4900000</v>
      </c>
      <c r="U353" s="19" t="s">
        <v>5484</v>
      </c>
      <c r="V353" s="19">
        <v>977</v>
      </c>
      <c r="W353" s="115">
        <v>2335.6821479999999</v>
      </c>
      <c r="X353" s="115">
        <f t="shared" si="61"/>
        <v>2281961.458596</v>
      </c>
      <c r="Y353" s="259" t="s">
        <v>5097</v>
      </c>
      <c r="AI353" s="20">
        <v>62</v>
      </c>
      <c r="AJ353" s="20" t="s">
        <v>4887</v>
      </c>
      <c r="AK353" s="115">
        <v>50000</v>
      </c>
      <c r="AL353" s="20">
        <v>0</v>
      </c>
      <c r="AM353" s="20">
        <f t="shared" si="70"/>
        <v>675</v>
      </c>
      <c r="AN353" s="20">
        <f t="shared" si="71"/>
        <v>33750000</v>
      </c>
      <c r="AO353" s="20"/>
    </row>
    <row r="354" spans="18:46">
      <c r="R354" s="97" t="s">
        <v>4793</v>
      </c>
      <c r="S354" s="93">
        <v>1150000</v>
      </c>
      <c r="U354" s="19" t="s">
        <v>5491</v>
      </c>
      <c r="V354" s="19">
        <v>4155</v>
      </c>
      <c r="W354" s="115">
        <v>2647</v>
      </c>
      <c r="X354" s="115">
        <f t="shared" si="61"/>
        <v>10998285</v>
      </c>
      <c r="Y354" s="259" t="s">
        <v>5097</v>
      </c>
      <c r="AI354" s="191">
        <v>63</v>
      </c>
      <c r="AJ354" s="191" t="s">
        <v>4887</v>
      </c>
      <c r="AK354" s="192">
        <v>50000</v>
      </c>
      <c r="AL354" s="191">
        <v>2</v>
      </c>
      <c r="AM354" s="191">
        <f t="shared" si="70"/>
        <v>675</v>
      </c>
      <c r="AN354" s="191">
        <f t="shared" si="71"/>
        <v>33750000</v>
      </c>
      <c r="AO354" s="191"/>
    </row>
    <row r="355" spans="18:46">
      <c r="R355" s="97" t="s">
        <v>4868</v>
      </c>
      <c r="S355" s="93">
        <v>250000</v>
      </c>
      <c r="U355" s="19" t="s">
        <v>5492</v>
      </c>
      <c r="V355" s="19">
        <v>351</v>
      </c>
      <c r="W355" s="115">
        <v>2800.6238229999999</v>
      </c>
      <c r="X355" s="115">
        <f t="shared" si="61"/>
        <v>983018.96187300002</v>
      </c>
      <c r="Y355" s="259" t="s">
        <v>5097</v>
      </c>
      <c r="Z355" t="s">
        <v>25</v>
      </c>
      <c r="AI355" s="20">
        <v>64</v>
      </c>
      <c r="AJ355" s="20" t="s">
        <v>4894</v>
      </c>
      <c r="AK355" s="115">
        <v>25000</v>
      </c>
      <c r="AL355" s="20">
        <v>0</v>
      </c>
      <c r="AM355" s="20">
        <f t="shared" si="70"/>
        <v>673</v>
      </c>
      <c r="AN355" s="20">
        <f t="shared" si="71"/>
        <v>16825000</v>
      </c>
      <c r="AO355" s="20"/>
    </row>
    <row r="356" spans="18:46">
      <c r="R356" s="97" t="s">
        <v>4871</v>
      </c>
      <c r="S356" s="93">
        <v>1403460</v>
      </c>
      <c r="T356" s="112"/>
      <c r="U356" s="19" t="s">
        <v>5494</v>
      </c>
      <c r="V356" s="19">
        <v>5877</v>
      </c>
      <c r="W356" s="115">
        <v>2901.0160000000001</v>
      </c>
      <c r="X356" s="115">
        <f t="shared" si="61"/>
        <v>17049271.032000002</v>
      </c>
      <c r="Y356" s="259" t="s">
        <v>5097</v>
      </c>
      <c r="Z356" t="s">
        <v>25</v>
      </c>
      <c r="AI356" s="147">
        <v>65</v>
      </c>
      <c r="AJ356" s="147" t="s">
        <v>4894</v>
      </c>
      <c r="AK356" s="186">
        <v>35000</v>
      </c>
      <c r="AL356" s="147">
        <v>7</v>
      </c>
      <c r="AM356" s="147">
        <f t="shared" si="70"/>
        <v>673</v>
      </c>
      <c r="AN356" s="147">
        <f t="shared" si="71"/>
        <v>23555000</v>
      </c>
      <c r="AO356" s="147"/>
    </row>
    <row r="357" spans="18:46">
      <c r="R357" s="97" t="s">
        <v>4876</v>
      </c>
      <c r="S357" s="93">
        <v>200000</v>
      </c>
      <c r="U357" s="19" t="s">
        <v>5497</v>
      </c>
      <c r="V357" s="19">
        <v>2374</v>
      </c>
      <c r="W357" s="115">
        <v>2877</v>
      </c>
      <c r="X357" s="115">
        <f t="shared" ref="X357:X394" si="72">V357*W357</f>
        <v>6829998</v>
      </c>
      <c r="Y357" s="259" t="s">
        <v>5097</v>
      </c>
      <c r="AI357" s="147">
        <v>66</v>
      </c>
      <c r="AJ357" s="147" t="s">
        <v>4902</v>
      </c>
      <c r="AK357" s="186">
        <v>30000000</v>
      </c>
      <c r="AL357" s="147">
        <v>0</v>
      </c>
      <c r="AM357" s="147">
        <f t="shared" ref="AM357:AM376" si="73">AL357+AM358</f>
        <v>666</v>
      </c>
      <c r="AN357" s="147">
        <f t="shared" ref="AN357:AN376" si="74">AK357*AM357</f>
        <v>19980000000</v>
      </c>
      <c r="AO357" s="147"/>
    </row>
    <row r="358" spans="18:46" ht="18" customHeight="1">
      <c r="R358" s="97" t="s">
        <v>4881</v>
      </c>
      <c r="S358" s="93">
        <v>345000</v>
      </c>
      <c r="U358" s="19" t="s">
        <v>4209</v>
      </c>
      <c r="V358" s="19">
        <v>2532</v>
      </c>
      <c r="W358" s="115">
        <v>2757.7444</v>
      </c>
      <c r="X358" s="115">
        <f t="shared" si="72"/>
        <v>6982608.8207999999</v>
      </c>
      <c r="Y358" s="259" t="s">
        <v>5097</v>
      </c>
      <c r="AI358" s="20">
        <v>67</v>
      </c>
      <c r="AJ358" s="20" t="s">
        <v>4902</v>
      </c>
      <c r="AK358" s="115">
        <v>6800000</v>
      </c>
      <c r="AL358" s="20">
        <v>1</v>
      </c>
      <c r="AM358" s="20">
        <f t="shared" si="73"/>
        <v>666</v>
      </c>
      <c r="AN358" s="20">
        <f t="shared" si="74"/>
        <v>4528800000</v>
      </c>
      <c r="AO358" s="20"/>
      <c r="AT358" t="s">
        <v>25</v>
      </c>
    </row>
    <row r="359" spans="18:46" ht="21" customHeight="1">
      <c r="R359" s="97" t="s">
        <v>4884</v>
      </c>
      <c r="S359" s="93">
        <v>900000</v>
      </c>
      <c r="U359" s="19" t="s">
        <v>4209</v>
      </c>
      <c r="V359" s="19">
        <v>4987</v>
      </c>
      <c r="W359" s="115">
        <v>2757.7444</v>
      </c>
      <c r="X359" s="115">
        <f t="shared" si="72"/>
        <v>13752871.322800001</v>
      </c>
      <c r="Y359" s="259" t="s">
        <v>5512</v>
      </c>
      <c r="Z359" t="s">
        <v>25</v>
      </c>
      <c r="AI359" s="20">
        <v>68</v>
      </c>
      <c r="AJ359" s="20" t="s">
        <v>4905</v>
      </c>
      <c r="AK359" s="115">
        <v>500000</v>
      </c>
      <c r="AL359" s="20">
        <v>1</v>
      </c>
      <c r="AM359" s="20">
        <f t="shared" si="73"/>
        <v>665</v>
      </c>
      <c r="AN359" s="20">
        <f t="shared" si="74"/>
        <v>332500000</v>
      </c>
      <c r="AO359" s="20"/>
    </row>
    <row r="360" spans="18:46">
      <c r="R360" s="97" t="s">
        <v>4892</v>
      </c>
      <c r="S360" s="93">
        <v>372517</v>
      </c>
      <c r="U360" s="19" t="s">
        <v>4209</v>
      </c>
      <c r="V360" s="19">
        <v>997</v>
      </c>
      <c r="W360" s="115">
        <v>2757.7444</v>
      </c>
      <c r="X360" s="115">
        <f t="shared" si="72"/>
        <v>2749471.1668000002</v>
      </c>
      <c r="Y360" s="259" t="s">
        <v>5513</v>
      </c>
      <c r="AI360" s="20">
        <v>69</v>
      </c>
      <c r="AJ360" s="20" t="s">
        <v>4909</v>
      </c>
      <c r="AK360" s="115">
        <v>850000</v>
      </c>
      <c r="AL360" s="20">
        <v>5</v>
      </c>
      <c r="AM360" s="20">
        <f t="shared" si="73"/>
        <v>664</v>
      </c>
      <c r="AN360" s="20">
        <f t="shared" si="74"/>
        <v>564400000</v>
      </c>
      <c r="AO360" s="20"/>
    </row>
    <row r="361" spans="18:46">
      <c r="R361" s="97" t="s">
        <v>4925</v>
      </c>
      <c r="S361" s="93">
        <v>6489257</v>
      </c>
      <c r="U361" s="19" t="s">
        <v>5517</v>
      </c>
      <c r="V361" s="19">
        <v>2874</v>
      </c>
      <c r="W361" s="115">
        <v>2613.1284000000001</v>
      </c>
      <c r="X361" s="115">
        <f t="shared" si="72"/>
        <v>7510131.0216000006</v>
      </c>
      <c r="Y361" s="259" t="s">
        <v>5097</v>
      </c>
      <c r="AI361" s="20">
        <v>70</v>
      </c>
      <c r="AJ361" s="20" t="s">
        <v>4917</v>
      </c>
      <c r="AK361" s="115">
        <v>1130250</v>
      </c>
      <c r="AL361" s="20">
        <v>0</v>
      </c>
      <c r="AM361" s="20">
        <f t="shared" si="73"/>
        <v>659</v>
      </c>
      <c r="AN361" s="20">
        <f t="shared" si="74"/>
        <v>744834750</v>
      </c>
      <c r="AO361" s="20"/>
    </row>
    <row r="362" spans="18:46" ht="18.75" customHeight="1">
      <c r="R362" s="97" t="s">
        <v>4936</v>
      </c>
      <c r="S362" s="93">
        <v>618000</v>
      </c>
      <c r="U362" s="19" t="s">
        <v>5523</v>
      </c>
      <c r="V362" s="19">
        <v>2847</v>
      </c>
      <c r="W362" s="115">
        <v>2556.3841000000002</v>
      </c>
      <c r="X362" s="115">
        <f t="shared" si="72"/>
        <v>7278025.5327000003</v>
      </c>
      <c r="Y362" s="259" t="s">
        <v>5097</v>
      </c>
      <c r="AI362" s="239">
        <v>71</v>
      </c>
      <c r="AJ362" s="239" t="s">
        <v>4917</v>
      </c>
      <c r="AK362" s="230">
        <v>30000</v>
      </c>
      <c r="AL362" s="239">
        <v>5</v>
      </c>
      <c r="AM362" s="239">
        <f t="shared" si="73"/>
        <v>659</v>
      </c>
      <c r="AN362" s="239">
        <f t="shared" si="74"/>
        <v>19770000</v>
      </c>
      <c r="AO362" s="239"/>
    </row>
    <row r="363" spans="18:46">
      <c r="R363" s="97" t="s">
        <v>4940</v>
      </c>
      <c r="S363" s="93">
        <v>20105000</v>
      </c>
      <c r="U363" s="19" t="s">
        <v>5523</v>
      </c>
      <c r="V363" s="19">
        <v>1222</v>
      </c>
      <c r="W363" s="115">
        <v>2556.3841000000002</v>
      </c>
      <c r="X363" s="115">
        <f t="shared" si="72"/>
        <v>3123901.3702000002</v>
      </c>
      <c r="Y363" s="259" t="s">
        <v>5524</v>
      </c>
      <c r="AI363" s="20">
        <v>72</v>
      </c>
      <c r="AJ363" s="20" t="s">
        <v>4925</v>
      </c>
      <c r="AK363" s="115">
        <v>206000</v>
      </c>
      <c r="AL363" s="20">
        <v>0</v>
      </c>
      <c r="AM363" s="20">
        <f t="shared" si="73"/>
        <v>654</v>
      </c>
      <c r="AN363" s="20">
        <f t="shared" si="74"/>
        <v>134724000</v>
      </c>
      <c r="AO363" s="20"/>
    </row>
    <row r="364" spans="18:46">
      <c r="R364" s="97" t="s">
        <v>4941</v>
      </c>
      <c r="S364" s="93">
        <v>-21079990</v>
      </c>
      <c r="U364" s="19" t="s">
        <v>5532</v>
      </c>
      <c r="V364" s="19">
        <v>73</v>
      </c>
      <c r="W364" s="115">
        <v>2672.0459999999998</v>
      </c>
      <c r="X364" s="115">
        <f t="shared" si="72"/>
        <v>195059.35799999998</v>
      </c>
      <c r="Y364" s="259" t="s">
        <v>5097</v>
      </c>
      <c r="AI364" s="147">
        <v>73</v>
      </c>
      <c r="AJ364" s="147" t="s">
        <v>4925</v>
      </c>
      <c r="AK364" s="186">
        <v>206000</v>
      </c>
      <c r="AL364" s="147">
        <v>2</v>
      </c>
      <c r="AM364" s="147">
        <f t="shared" si="73"/>
        <v>654</v>
      </c>
      <c r="AN364" s="147">
        <f t="shared" si="74"/>
        <v>134724000</v>
      </c>
      <c r="AO364" s="147"/>
    </row>
    <row r="365" spans="18:46" ht="30">
      <c r="R365" s="97" t="s">
        <v>4947</v>
      </c>
      <c r="S365" s="93">
        <v>-5949277</v>
      </c>
      <c r="T365" t="s">
        <v>25</v>
      </c>
      <c r="U365" s="19" t="s">
        <v>5537</v>
      </c>
      <c r="V365" s="19">
        <v>332</v>
      </c>
      <c r="W365" s="115">
        <v>2598.1260000000002</v>
      </c>
      <c r="X365" s="115">
        <f t="shared" si="72"/>
        <v>862577.83200000005</v>
      </c>
      <c r="Y365" s="259" t="s">
        <v>5538</v>
      </c>
      <c r="Z365" t="s">
        <v>25</v>
      </c>
      <c r="AA365" t="s">
        <v>25</v>
      </c>
      <c r="AI365" s="20">
        <v>74</v>
      </c>
      <c r="AJ365" s="20" t="s">
        <v>4932</v>
      </c>
      <c r="AK365" s="115">
        <v>50000</v>
      </c>
      <c r="AL365" s="20">
        <v>0</v>
      </c>
      <c r="AM365" s="20">
        <f t="shared" si="73"/>
        <v>652</v>
      </c>
      <c r="AN365" s="20">
        <f t="shared" si="74"/>
        <v>32600000</v>
      </c>
      <c r="AO365" s="20"/>
    </row>
    <row r="366" spans="18:46">
      <c r="R366" s="97" t="s">
        <v>4953</v>
      </c>
      <c r="S366" s="93">
        <v>-15370656</v>
      </c>
      <c r="U366" s="19" t="s">
        <v>5539</v>
      </c>
      <c r="V366" s="19">
        <v>346</v>
      </c>
      <c r="W366" s="115">
        <v>2659.8510000000001</v>
      </c>
      <c r="X366" s="115">
        <f t="shared" si="72"/>
        <v>920308.446</v>
      </c>
      <c r="Y366" s="259" t="s">
        <v>5097</v>
      </c>
      <c r="AI366" s="239">
        <v>75</v>
      </c>
      <c r="AJ366" s="239" t="s">
        <v>4932</v>
      </c>
      <c r="AK366" s="230">
        <v>50000</v>
      </c>
      <c r="AL366" s="239">
        <v>2</v>
      </c>
      <c r="AM366" s="239">
        <f t="shared" si="73"/>
        <v>652</v>
      </c>
      <c r="AN366" s="239">
        <f t="shared" si="74"/>
        <v>32600000</v>
      </c>
      <c r="AO366" s="239"/>
    </row>
    <row r="367" spans="18:46">
      <c r="R367" s="97" t="s">
        <v>4953</v>
      </c>
      <c r="S367" s="93">
        <v>4960000</v>
      </c>
      <c r="U367" s="19" t="s">
        <v>5540</v>
      </c>
      <c r="V367" s="19">
        <v>1722</v>
      </c>
      <c r="W367" s="115">
        <v>2692.1079220000001</v>
      </c>
      <c r="X367" s="115">
        <f t="shared" si="72"/>
        <v>4635809.8416840006</v>
      </c>
      <c r="Y367" s="259" t="s">
        <v>5097</v>
      </c>
      <c r="Z367" t="s">
        <v>25</v>
      </c>
      <c r="AI367" s="20">
        <v>76</v>
      </c>
      <c r="AJ367" s="20" t="s">
        <v>4936</v>
      </c>
      <c r="AK367" s="115">
        <v>20000000</v>
      </c>
      <c r="AL367" s="20">
        <v>7</v>
      </c>
      <c r="AM367" s="20">
        <f t="shared" si="73"/>
        <v>650</v>
      </c>
      <c r="AN367" s="20">
        <f t="shared" si="74"/>
        <v>13000000000</v>
      </c>
      <c r="AO367" s="20" t="s">
        <v>4937</v>
      </c>
    </row>
    <row r="368" spans="18:46">
      <c r="R368" s="97" t="s">
        <v>4960</v>
      </c>
      <c r="S368" s="93">
        <v>10000000</v>
      </c>
      <c r="U368" s="19" t="s">
        <v>5542</v>
      </c>
      <c r="V368" s="19">
        <v>106</v>
      </c>
      <c r="W368" s="115">
        <v>2725.4</v>
      </c>
      <c r="X368" s="115">
        <f t="shared" si="72"/>
        <v>288892.40000000002</v>
      </c>
      <c r="Y368" s="259" t="s">
        <v>452</v>
      </c>
      <c r="Z368" t="s">
        <v>25</v>
      </c>
      <c r="AA368" t="s">
        <v>25</v>
      </c>
      <c r="AC368" t="s">
        <v>25</v>
      </c>
      <c r="AI368" s="20">
        <v>77</v>
      </c>
      <c r="AJ368" s="20" t="s">
        <v>4947</v>
      </c>
      <c r="AK368" s="115">
        <v>50000</v>
      </c>
      <c r="AL368" s="20">
        <v>0</v>
      </c>
      <c r="AM368" s="20">
        <f t="shared" si="73"/>
        <v>643</v>
      </c>
      <c r="AN368" s="20">
        <f t="shared" si="74"/>
        <v>32150000</v>
      </c>
      <c r="AO368" s="20"/>
    </row>
    <row r="369" spans="18:46">
      <c r="R369" s="97" t="s">
        <v>4969</v>
      </c>
      <c r="S369" s="93">
        <v>-40570100</v>
      </c>
      <c r="U369" s="19" t="s">
        <v>5569</v>
      </c>
      <c r="V369" s="19">
        <v>25901</v>
      </c>
      <c r="W369" s="115">
        <v>2258.9090000000001</v>
      </c>
      <c r="X369" s="115">
        <f t="shared" si="72"/>
        <v>58508002.009000003</v>
      </c>
      <c r="Y369" s="259" t="s">
        <v>5097</v>
      </c>
      <c r="AI369" s="147">
        <v>78</v>
      </c>
      <c r="AJ369" s="147" t="s">
        <v>4947</v>
      </c>
      <c r="AK369" s="186">
        <v>50000</v>
      </c>
      <c r="AL369" s="147">
        <v>7</v>
      </c>
      <c r="AM369" s="147">
        <f t="shared" si="73"/>
        <v>643</v>
      </c>
      <c r="AN369" s="147">
        <f t="shared" si="74"/>
        <v>32150000</v>
      </c>
      <c r="AO369" s="147"/>
    </row>
    <row r="370" spans="18:46">
      <c r="R370" s="97" t="s">
        <v>4970</v>
      </c>
      <c r="S370" s="93">
        <v>1000000</v>
      </c>
      <c r="U370" s="19" t="s">
        <v>5571</v>
      </c>
      <c r="V370" s="19">
        <v>951</v>
      </c>
      <c r="W370" s="115">
        <v>2361.2150799999999</v>
      </c>
      <c r="X370" s="115">
        <f t="shared" si="72"/>
        <v>2245515.5410799999</v>
      </c>
      <c r="Y370" s="259" t="s">
        <v>5097</v>
      </c>
      <c r="AI370" s="20">
        <v>79</v>
      </c>
      <c r="AJ370" s="20" t="s">
        <v>4953</v>
      </c>
      <c r="AK370" s="115">
        <v>2480000</v>
      </c>
      <c r="AL370" s="20">
        <v>0</v>
      </c>
      <c r="AM370" s="20">
        <f t="shared" si="73"/>
        <v>636</v>
      </c>
      <c r="AN370" s="20">
        <f t="shared" si="74"/>
        <v>1577280000</v>
      </c>
      <c r="AO370" s="20"/>
    </row>
    <row r="371" spans="18:46">
      <c r="R371" s="97" t="s">
        <v>4977</v>
      </c>
      <c r="S371" s="93">
        <v>400000</v>
      </c>
      <c r="U371" s="19" t="s">
        <v>5573</v>
      </c>
      <c r="V371" s="19">
        <v>7622</v>
      </c>
      <c r="W371" s="115">
        <v>2414.6810999999998</v>
      </c>
      <c r="X371" s="115">
        <f t="shared" si="72"/>
        <v>18404699.3442</v>
      </c>
      <c r="Y371" s="259" t="s">
        <v>5097</v>
      </c>
      <c r="AI371" s="147">
        <v>80</v>
      </c>
      <c r="AJ371" s="147" t="s">
        <v>4953</v>
      </c>
      <c r="AK371" s="186">
        <v>2480000</v>
      </c>
      <c r="AL371" s="147">
        <v>12</v>
      </c>
      <c r="AM371" s="147">
        <f t="shared" si="73"/>
        <v>636</v>
      </c>
      <c r="AN371" s="147">
        <f t="shared" si="74"/>
        <v>1577280000</v>
      </c>
      <c r="AO371" s="147"/>
    </row>
    <row r="372" spans="18:46">
      <c r="R372" s="97" t="s">
        <v>4991</v>
      </c>
      <c r="S372" s="93">
        <v>120000</v>
      </c>
      <c r="U372" s="19" t="s">
        <v>5573</v>
      </c>
      <c r="V372" s="19">
        <v>-282</v>
      </c>
      <c r="W372" s="115">
        <v>2414.6810999999998</v>
      </c>
      <c r="X372" s="115">
        <f t="shared" si="72"/>
        <v>-680940.07019999996</v>
      </c>
      <c r="Y372" s="259" t="s">
        <v>5574</v>
      </c>
      <c r="AI372" s="20">
        <v>81</v>
      </c>
      <c r="AJ372" s="20" t="s">
        <v>4960</v>
      </c>
      <c r="AK372" s="115">
        <v>-24159500</v>
      </c>
      <c r="AL372" s="20">
        <v>4</v>
      </c>
      <c r="AM372" s="20">
        <f t="shared" si="73"/>
        <v>624</v>
      </c>
      <c r="AN372" s="20">
        <f t="shared" si="74"/>
        <v>-15075528000</v>
      </c>
      <c r="AO372" s="20" t="s">
        <v>4968</v>
      </c>
      <c r="AS372" t="s">
        <v>25</v>
      </c>
    </row>
    <row r="373" spans="18:46">
      <c r="R373" s="97" t="s">
        <v>4982</v>
      </c>
      <c r="S373" s="93">
        <v>500000</v>
      </c>
      <c r="U373" s="19" t="s">
        <v>5573</v>
      </c>
      <c r="V373" s="19">
        <v>20162</v>
      </c>
      <c r="W373" s="115">
        <v>2414.6810999999998</v>
      </c>
      <c r="X373" s="115">
        <f t="shared" si="72"/>
        <v>48684800.338199995</v>
      </c>
      <c r="Y373" s="259" t="s">
        <v>5575</v>
      </c>
      <c r="AI373" s="20">
        <v>82</v>
      </c>
      <c r="AJ373" s="20" t="s">
        <v>4970</v>
      </c>
      <c r="AK373" s="115">
        <v>400000</v>
      </c>
      <c r="AL373" s="20">
        <v>3</v>
      </c>
      <c r="AM373" s="20">
        <f t="shared" si="73"/>
        <v>620</v>
      </c>
      <c r="AN373" s="20">
        <f t="shared" si="74"/>
        <v>248000000</v>
      </c>
      <c r="AO373" s="20"/>
    </row>
    <row r="374" spans="18:46">
      <c r="R374" s="97" t="s">
        <v>5007</v>
      </c>
      <c r="S374" s="93">
        <v>744000</v>
      </c>
      <c r="U374" s="19" t="s">
        <v>5573</v>
      </c>
      <c r="V374" s="19">
        <v>-20162</v>
      </c>
      <c r="W374" s="115">
        <v>2414.6810999999998</v>
      </c>
      <c r="X374" s="115">
        <f t="shared" si="72"/>
        <v>-48684800.338199995</v>
      </c>
      <c r="Y374" s="259" t="s">
        <v>743</v>
      </c>
      <c r="AI374" s="147">
        <v>83</v>
      </c>
      <c r="AJ374" s="147" t="s">
        <v>4977</v>
      </c>
      <c r="AK374" s="186">
        <v>40000</v>
      </c>
      <c r="AL374" s="147">
        <v>0</v>
      </c>
      <c r="AM374" s="147">
        <f t="shared" si="73"/>
        <v>617</v>
      </c>
      <c r="AN374" s="147">
        <f t="shared" si="74"/>
        <v>24680000</v>
      </c>
      <c r="AO374" s="147"/>
      <c r="AT374" t="s">
        <v>25</v>
      </c>
    </row>
    <row r="375" spans="18:46">
      <c r="R375" s="97" t="s">
        <v>5012</v>
      </c>
      <c r="S375" s="93">
        <v>65000</v>
      </c>
      <c r="U375" s="19" t="s">
        <v>5576</v>
      </c>
      <c r="V375" s="19">
        <v>977</v>
      </c>
      <c r="W375" s="115">
        <v>2317.971947</v>
      </c>
      <c r="X375" s="115">
        <f t="shared" si="72"/>
        <v>2264658.5922190002</v>
      </c>
      <c r="Y375" s="259" t="s">
        <v>5097</v>
      </c>
      <c r="AI375" s="20">
        <v>84</v>
      </c>
      <c r="AJ375" s="20" t="s">
        <v>4977</v>
      </c>
      <c r="AK375" s="115">
        <v>40000</v>
      </c>
      <c r="AL375" s="20">
        <v>5</v>
      </c>
      <c r="AM375" s="20">
        <f t="shared" si="73"/>
        <v>617</v>
      </c>
      <c r="AN375" s="20">
        <f t="shared" si="74"/>
        <v>24680000</v>
      </c>
      <c r="AO375" s="20"/>
    </row>
    <row r="376" spans="18:46">
      <c r="R376" s="97" t="s">
        <v>4983</v>
      </c>
      <c r="S376" s="93">
        <v>-14053702</v>
      </c>
      <c r="U376" s="19" t="s">
        <v>5578</v>
      </c>
      <c r="V376" s="19">
        <v>10280</v>
      </c>
      <c r="W376" s="115">
        <v>2225.429357</v>
      </c>
      <c r="X376" s="115">
        <f t="shared" si="72"/>
        <v>22877413.789960001</v>
      </c>
      <c r="Y376" s="259" t="s">
        <v>5097</v>
      </c>
      <c r="AI376" s="20">
        <v>85</v>
      </c>
      <c r="AJ376" s="20" t="s">
        <v>4985</v>
      </c>
      <c r="AK376" s="115">
        <v>200000</v>
      </c>
      <c r="AL376" s="20">
        <v>1</v>
      </c>
      <c r="AM376" s="20">
        <f t="shared" si="73"/>
        <v>612</v>
      </c>
      <c r="AN376" s="20">
        <f t="shared" si="74"/>
        <v>122400000</v>
      </c>
      <c r="AO376" s="20"/>
    </row>
    <row r="377" spans="18:46">
      <c r="R377" s="97" t="s">
        <v>5048</v>
      </c>
      <c r="S377" s="93">
        <v>3555678</v>
      </c>
      <c r="U377" s="19" t="s">
        <v>5581</v>
      </c>
      <c r="V377" s="19">
        <v>1022</v>
      </c>
      <c r="W377" s="115">
        <v>2311.6824240000001</v>
      </c>
      <c r="X377" s="115">
        <f t="shared" si="72"/>
        <v>2362539.4373280001</v>
      </c>
      <c r="Y377" s="259" t="s">
        <v>5097</v>
      </c>
      <c r="AI377" s="20">
        <v>86</v>
      </c>
      <c r="AJ377" s="20" t="s">
        <v>4989</v>
      </c>
      <c r="AK377" s="115">
        <v>500000</v>
      </c>
      <c r="AL377" s="20">
        <v>2</v>
      </c>
      <c r="AM377" s="20">
        <f t="shared" ref="AM377:AM406" si="75">AL377+AM378</f>
        <v>611</v>
      </c>
      <c r="AN377" s="20">
        <f t="shared" ref="AN377:AN406" si="76">AK377*AM377</f>
        <v>305500000</v>
      </c>
      <c r="AO377" s="20"/>
      <c r="AS377" t="s">
        <v>25</v>
      </c>
    </row>
    <row r="378" spans="18:46">
      <c r="R378" s="97" t="s">
        <v>5052</v>
      </c>
      <c r="S378" s="93">
        <v>3495</v>
      </c>
      <c r="U378" s="19" t="s">
        <v>5582</v>
      </c>
      <c r="V378" s="19">
        <v>6818</v>
      </c>
      <c r="W378" s="115">
        <v>2352.988656</v>
      </c>
      <c r="X378" s="115">
        <f t="shared" si="72"/>
        <v>16042676.656608</v>
      </c>
      <c r="Y378" s="259" t="s">
        <v>5097</v>
      </c>
      <c r="AI378" s="20">
        <v>87</v>
      </c>
      <c r="AJ378" s="20" t="s">
        <v>4991</v>
      </c>
      <c r="AK378" s="115">
        <v>500000</v>
      </c>
      <c r="AL378" s="20">
        <v>3</v>
      </c>
      <c r="AM378" s="20">
        <f t="shared" si="75"/>
        <v>609</v>
      </c>
      <c r="AN378" s="20">
        <f t="shared" si="76"/>
        <v>304500000</v>
      </c>
      <c r="AO378" s="20"/>
    </row>
    <row r="379" spans="18:46">
      <c r="R379" s="97" t="s">
        <v>5054</v>
      </c>
      <c r="S379" s="93">
        <v>6000000</v>
      </c>
      <c r="U379" s="19" t="s">
        <v>5583</v>
      </c>
      <c r="V379" s="19">
        <v>8023</v>
      </c>
      <c r="W379" s="115">
        <v>2293.8167079999998</v>
      </c>
      <c r="X379" s="115">
        <f t="shared" si="72"/>
        <v>18403291.448284</v>
      </c>
      <c r="Y379" s="259" t="s">
        <v>5097</v>
      </c>
      <c r="AI379" s="20">
        <v>88</v>
      </c>
      <c r="AJ379" s="20" t="s">
        <v>4982</v>
      </c>
      <c r="AK379" s="115">
        <v>250000</v>
      </c>
      <c r="AL379" s="20">
        <v>0</v>
      </c>
      <c r="AM379" s="20">
        <f t="shared" si="75"/>
        <v>606</v>
      </c>
      <c r="AN379" s="20">
        <f t="shared" si="76"/>
        <v>151500000</v>
      </c>
      <c r="AO379" s="20"/>
    </row>
    <row r="380" spans="18:46">
      <c r="R380" s="97" t="s">
        <v>5055</v>
      </c>
      <c r="S380" s="93">
        <v>17220</v>
      </c>
      <c r="U380" s="19" t="s">
        <v>5586</v>
      </c>
      <c r="V380" s="19">
        <v>4666</v>
      </c>
      <c r="W380" s="115">
        <v>2263.4906230000001</v>
      </c>
      <c r="X380" s="115">
        <f t="shared" si="72"/>
        <v>10561447.246918</v>
      </c>
      <c r="Y380" s="259" t="s">
        <v>5097</v>
      </c>
      <c r="AI380" s="239">
        <v>89</v>
      </c>
      <c r="AJ380" s="239" t="s">
        <v>4982</v>
      </c>
      <c r="AK380" s="230">
        <v>245000</v>
      </c>
      <c r="AL380" s="239">
        <v>16</v>
      </c>
      <c r="AM380" s="239">
        <f t="shared" si="75"/>
        <v>606</v>
      </c>
      <c r="AN380" s="239">
        <f t="shared" si="76"/>
        <v>148470000</v>
      </c>
      <c r="AO380" s="239"/>
    </row>
    <row r="381" spans="18:46">
      <c r="R381" s="97" t="s">
        <v>5057</v>
      </c>
      <c r="S381" s="93">
        <v>8249</v>
      </c>
      <c r="T381" t="s">
        <v>25</v>
      </c>
      <c r="U381" s="19" t="s">
        <v>5587</v>
      </c>
      <c r="V381" s="19">
        <v>542</v>
      </c>
      <c r="W381" s="115">
        <v>2263.4906230000001</v>
      </c>
      <c r="X381" s="115">
        <f t="shared" si="72"/>
        <v>1226811.9176660001</v>
      </c>
      <c r="Y381" s="259" t="s">
        <v>5097</v>
      </c>
      <c r="AI381" s="20">
        <v>90</v>
      </c>
      <c r="AJ381" s="20" t="s">
        <v>5016</v>
      </c>
      <c r="AK381" s="115">
        <v>312598</v>
      </c>
      <c r="AL381" s="20">
        <v>0</v>
      </c>
      <c r="AM381" s="20">
        <f t="shared" si="75"/>
        <v>590</v>
      </c>
      <c r="AN381" s="20">
        <f t="shared" si="76"/>
        <v>184432820</v>
      </c>
      <c r="AO381" s="20"/>
      <c r="AQ381" t="s">
        <v>25</v>
      </c>
    </row>
    <row r="382" spans="18:46">
      <c r="R382" s="97" t="s">
        <v>5057</v>
      </c>
      <c r="S382" s="93">
        <v>6937</v>
      </c>
      <c r="U382" s="19" t="s">
        <v>5588</v>
      </c>
      <c r="V382" s="19">
        <v>16629</v>
      </c>
      <c r="W382" s="115">
        <v>2367.7887540000002</v>
      </c>
      <c r="X382" s="115">
        <f t="shared" si="72"/>
        <v>39373959.190266006</v>
      </c>
      <c r="Y382" s="259" t="s">
        <v>5097</v>
      </c>
      <c r="AI382" s="20">
        <v>91</v>
      </c>
      <c r="AJ382" s="20" t="s">
        <v>5016</v>
      </c>
      <c r="AK382" s="115">
        <v>780000</v>
      </c>
      <c r="AL382" s="20">
        <v>0</v>
      </c>
      <c r="AM382" s="20">
        <f t="shared" si="75"/>
        <v>590</v>
      </c>
      <c r="AN382" s="20">
        <f t="shared" si="76"/>
        <v>460200000</v>
      </c>
      <c r="AO382" s="20"/>
    </row>
    <row r="383" spans="18:46">
      <c r="R383" s="97" t="s">
        <v>5060</v>
      </c>
      <c r="S383" s="93">
        <v>4046552</v>
      </c>
      <c r="U383" s="19" t="s">
        <v>5593</v>
      </c>
      <c r="V383" s="19">
        <v>11765</v>
      </c>
      <c r="W383" s="115">
        <v>2354.7375320000001</v>
      </c>
      <c r="X383" s="115">
        <f t="shared" si="72"/>
        <v>27703487.063980002</v>
      </c>
      <c r="Y383" s="259" t="s">
        <v>5097</v>
      </c>
      <c r="AI383" s="191">
        <v>92</v>
      </c>
      <c r="AJ383" s="191" t="s">
        <v>5016</v>
      </c>
      <c r="AK383" s="192">
        <v>-300000</v>
      </c>
      <c r="AL383" s="191">
        <v>1</v>
      </c>
      <c r="AM383" s="191">
        <f t="shared" si="75"/>
        <v>590</v>
      </c>
      <c r="AN383" s="191">
        <f t="shared" si="76"/>
        <v>-177000000</v>
      </c>
      <c r="AO383" s="191"/>
    </row>
    <row r="384" spans="18:46">
      <c r="R384" s="97" t="s">
        <v>5067</v>
      </c>
      <c r="S384" s="93">
        <v>-3884943</v>
      </c>
      <c r="U384" s="19" t="s">
        <v>5594</v>
      </c>
      <c r="V384" s="19">
        <v>3672</v>
      </c>
      <c r="W384" s="115">
        <v>2379.873826</v>
      </c>
      <c r="X384" s="115">
        <f t="shared" si="72"/>
        <v>8738896.6890719999</v>
      </c>
      <c r="Y384" s="259" t="s">
        <v>5097</v>
      </c>
      <c r="AA384" t="s">
        <v>25</v>
      </c>
      <c r="AI384" s="20">
        <v>93</v>
      </c>
      <c r="AJ384" s="20" t="s">
        <v>4983</v>
      </c>
      <c r="AK384" s="115">
        <v>300000</v>
      </c>
      <c r="AL384" s="20">
        <v>0</v>
      </c>
      <c r="AM384" s="20">
        <f t="shared" si="75"/>
        <v>589</v>
      </c>
      <c r="AN384" s="20">
        <f t="shared" si="76"/>
        <v>176700000</v>
      </c>
      <c r="AO384" s="20"/>
    </row>
    <row r="385" spans="16:46">
      <c r="R385" s="97" t="s">
        <v>5093</v>
      </c>
      <c r="S385" s="93">
        <v>6022</v>
      </c>
      <c r="U385" s="19" t="s">
        <v>4182</v>
      </c>
      <c r="V385" s="19">
        <v>140</v>
      </c>
      <c r="W385" s="115">
        <v>2487.154767</v>
      </c>
      <c r="X385" s="115">
        <f t="shared" si="72"/>
        <v>348201.66738</v>
      </c>
      <c r="Y385" s="259" t="s">
        <v>5097</v>
      </c>
      <c r="AI385" s="20">
        <v>94</v>
      </c>
      <c r="AJ385" s="20" t="s">
        <v>4983</v>
      </c>
      <c r="AK385" s="115">
        <v>8660000</v>
      </c>
      <c r="AL385" s="20">
        <v>8</v>
      </c>
      <c r="AM385" s="20">
        <f t="shared" si="75"/>
        <v>589</v>
      </c>
      <c r="AN385" s="20">
        <f t="shared" si="76"/>
        <v>5100740000</v>
      </c>
      <c r="AO385" s="20"/>
    </row>
    <row r="386" spans="16:46">
      <c r="R386" s="97" t="s">
        <v>5096</v>
      </c>
      <c r="S386" s="93">
        <v>400000</v>
      </c>
      <c r="U386" s="19" t="s">
        <v>5596</v>
      </c>
      <c r="V386" s="19">
        <v>1616</v>
      </c>
      <c r="W386" s="115">
        <v>2573.0760479999999</v>
      </c>
      <c r="X386" s="115">
        <f t="shared" si="72"/>
        <v>4158090.8935679998</v>
      </c>
      <c r="Y386" s="259" t="s">
        <v>5097</v>
      </c>
      <c r="AI386" s="147">
        <v>95</v>
      </c>
      <c r="AJ386" s="147" t="s">
        <v>5033</v>
      </c>
      <c r="AK386" s="186">
        <v>200000</v>
      </c>
      <c r="AL386" s="147">
        <v>3</v>
      </c>
      <c r="AM386" s="147">
        <f t="shared" si="75"/>
        <v>581</v>
      </c>
      <c r="AN386" s="147">
        <f t="shared" si="76"/>
        <v>116200000</v>
      </c>
      <c r="AO386" s="147"/>
      <c r="AR386" t="s">
        <v>25</v>
      </c>
    </row>
    <row r="387" spans="16:46">
      <c r="R387" s="97" t="s">
        <v>5096</v>
      </c>
      <c r="S387" s="93">
        <v>92847</v>
      </c>
      <c r="U387" s="187" t="s">
        <v>5597</v>
      </c>
      <c r="V387" s="187">
        <v>5682</v>
      </c>
      <c r="W387" s="186">
        <v>2639.970566</v>
      </c>
      <c r="X387" s="186">
        <f t="shared" si="72"/>
        <v>15000312.756012</v>
      </c>
      <c r="Y387" s="258" t="s">
        <v>5816</v>
      </c>
      <c r="AG387" s="94" t="s">
        <v>25</v>
      </c>
      <c r="AI387" s="147">
        <v>96</v>
      </c>
      <c r="AJ387" s="147" t="s">
        <v>5036</v>
      </c>
      <c r="AK387" s="186">
        <v>20000</v>
      </c>
      <c r="AL387" s="147">
        <v>1</v>
      </c>
      <c r="AM387" s="147">
        <f t="shared" si="75"/>
        <v>578</v>
      </c>
      <c r="AN387" s="147">
        <f t="shared" si="76"/>
        <v>11560000</v>
      </c>
      <c r="AO387" s="147"/>
    </row>
    <row r="388" spans="16:46" ht="30">
      <c r="R388" s="97" t="s">
        <v>5100</v>
      </c>
      <c r="S388" s="93">
        <v>-100000</v>
      </c>
      <c r="U388" s="187" t="s">
        <v>5597</v>
      </c>
      <c r="V388" s="187">
        <v>-122</v>
      </c>
      <c r="W388" s="186">
        <v>2639.970566</v>
      </c>
      <c r="X388" s="186">
        <f t="shared" si="72"/>
        <v>-322076.40905199997</v>
      </c>
      <c r="Y388" s="258" t="s">
        <v>5843</v>
      </c>
      <c r="Z388" t="s">
        <v>25</v>
      </c>
      <c r="AI388" s="20">
        <v>97</v>
      </c>
      <c r="AJ388" s="20" t="s">
        <v>5046</v>
      </c>
      <c r="AK388" s="115">
        <v>14340000</v>
      </c>
      <c r="AL388" s="20">
        <v>7</v>
      </c>
      <c r="AM388" s="20">
        <f t="shared" si="75"/>
        <v>577</v>
      </c>
      <c r="AN388" s="20">
        <f t="shared" si="76"/>
        <v>8274180000</v>
      </c>
      <c r="AO388" s="20"/>
      <c r="AT388" t="s">
        <v>25</v>
      </c>
    </row>
    <row r="389" spans="16:46">
      <c r="R389" s="97" t="s">
        <v>5105</v>
      </c>
      <c r="S389" s="93">
        <v>10000000</v>
      </c>
      <c r="U389" s="19" t="s">
        <v>5597</v>
      </c>
      <c r="V389" s="19">
        <v>2272</v>
      </c>
      <c r="W389" s="115">
        <v>2639.970566</v>
      </c>
      <c r="X389" s="115">
        <f t="shared" si="72"/>
        <v>5998013.1259519998</v>
      </c>
      <c r="Y389" s="259" t="s">
        <v>5606</v>
      </c>
      <c r="AI389" s="20">
        <v>98</v>
      </c>
      <c r="AJ389" s="20" t="s">
        <v>5052</v>
      </c>
      <c r="AK389" s="115">
        <v>10000000</v>
      </c>
      <c r="AL389" s="20">
        <v>6</v>
      </c>
      <c r="AM389" s="20">
        <f t="shared" si="75"/>
        <v>570</v>
      </c>
      <c r="AN389" s="20">
        <f t="shared" si="76"/>
        <v>5700000000</v>
      </c>
      <c r="AO389" s="20" t="s">
        <v>4669</v>
      </c>
    </row>
    <row r="390" spans="16:46" ht="30">
      <c r="R390" s="97" t="s">
        <v>5109</v>
      </c>
      <c r="S390" s="93">
        <v>-400000</v>
      </c>
      <c r="U390" s="19" t="s">
        <v>5597</v>
      </c>
      <c r="V390" s="19">
        <v>4434</v>
      </c>
      <c r="W390" s="115">
        <v>2639.970566</v>
      </c>
      <c r="X390" s="115">
        <f t="shared" si="72"/>
        <v>11705629.489644</v>
      </c>
      <c r="Y390" s="259" t="s">
        <v>5607</v>
      </c>
      <c r="AB390" t="s">
        <v>25</v>
      </c>
      <c r="AI390" s="20">
        <v>99</v>
      </c>
      <c r="AJ390" s="20" t="s">
        <v>5057</v>
      </c>
      <c r="AK390" s="115">
        <v>4033949</v>
      </c>
      <c r="AL390" s="20">
        <v>2</v>
      </c>
      <c r="AM390" s="20">
        <f t="shared" si="75"/>
        <v>564</v>
      </c>
      <c r="AN390" s="20">
        <f t="shared" si="76"/>
        <v>2275147236</v>
      </c>
      <c r="AO390" s="20" t="s">
        <v>5059</v>
      </c>
    </row>
    <row r="391" spans="16:46">
      <c r="R391" s="97" t="s">
        <v>5111</v>
      </c>
      <c r="S391" s="93">
        <v>5649</v>
      </c>
      <c r="U391" s="19" t="s">
        <v>5597</v>
      </c>
      <c r="V391" s="19">
        <v>2349</v>
      </c>
      <c r="W391" s="115">
        <v>2639.970566</v>
      </c>
      <c r="X391" s="115">
        <f t="shared" si="72"/>
        <v>6201290.859534</v>
      </c>
      <c r="Y391" s="259" t="s">
        <v>5608</v>
      </c>
      <c r="AI391" s="147">
        <v>100</v>
      </c>
      <c r="AJ391" s="147" t="s">
        <v>5063</v>
      </c>
      <c r="AK391" s="186">
        <v>11500000</v>
      </c>
      <c r="AL391" s="147">
        <v>2</v>
      </c>
      <c r="AM391" s="147">
        <f t="shared" si="75"/>
        <v>562</v>
      </c>
      <c r="AN391" s="147">
        <f t="shared" si="76"/>
        <v>6463000000</v>
      </c>
      <c r="AO391" s="147" t="s">
        <v>5065</v>
      </c>
    </row>
    <row r="392" spans="16:46" ht="30">
      <c r="R392" s="97" t="s">
        <v>5112</v>
      </c>
      <c r="S392" s="93">
        <v>460000</v>
      </c>
      <c r="U392" s="19" t="s">
        <v>5597</v>
      </c>
      <c r="V392" s="19">
        <v>-568</v>
      </c>
      <c r="W392" s="115">
        <v>2639.970566</v>
      </c>
      <c r="X392" s="115">
        <f t="shared" si="72"/>
        <v>-1499503.2814879999</v>
      </c>
      <c r="Y392" s="259" t="s">
        <v>5609</v>
      </c>
      <c r="Z392" t="s">
        <v>25</v>
      </c>
      <c r="AI392" s="147">
        <v>101</v>
      </c>
      <c r="AJ392" s="147" t="s">
        <v>5067</v>
      </c>
      <c r="AK392" s="186">
        <v>250000</v>
      </c>
      <c r="AL392" s="147">
        <v>3</v>
      </c>
      <c r="AM392" s="147">
        <f t="shared" si="75"/>
        <v>560</v>
      </c>
      <c r="AN392" s="147">
        <f t="shared" si="76"/>
        <v>140000000</v>
      </c>
      <c r="AO392" s="147"/>
    </row>
    <row r="393" spans="16:46" ht="30">
      <c r="P393" t="s">
        <v>25</v>
      </c>
      <c r="R393" s="97" t="s">
        <v>5112</v>
      </c>
      <c r="S393" s="93">
        <v>1300000</v>
      </c>
      <c r="U393" s="19" t="s">
        <v>5597</v>
      </c>
      <c r="V393" s="19">
        <v>568</v>
      </c>
      <c r="W393" s="115">
        <v>2639.970566</v>
      </c>
      <c r="X393" s="115">
        <f t="shared" si="72"/>
        <v>1499503.2814879999</v>
      </c>
      <c r="Y393" s="259" t="s">
        <v>5609</v>
      </c>
      <c r="AI393" s="147">
        <v>102</v>
      </c>
      <c r="AJ393" s="147" t="s">
        <v>5092</v>
      </c>
      <c r="AK393" s="186">
        <v>6000000</v>
      </c>
      <c r="AL393" s="147">
        <v>1</v>
      </c>
      <c r="AM393" s="147">
        <f t="shared" si="75"/>
        <v>557</v>
      </c>
      <c r="AN393" s="147">
        <f t="shared" si="76"/>
        <v>3342000000</v>
      </c>
      <c r="AO393" s="147" t="s">
        <v>5065</v>
      </c>
      <c r="AS393" t="s">
        <v>25</v>
      </c>
    </row>
    <row r="394" spans="16:46">
      <c r="R394" s="97" t="s">
        <v>975</v>
      </c>
      <c r="S394" s="93">
        <v>7300000</v>
      </c>
      <c r="U394" s="19" t="s">
        <v>5600</v>
      </c>
      <c r="V394" s="19">
        <v>4589</v>
      </c>
      <c r="W394" s="115">
        <v>2639.970566</v>
      </c>
      <c r="X394" s="115">
        <f t="shared" si="72"/>
        <v>12114824.927374</v>
      </c>
      <c r="Y394" s="259" t="s">
        <v>5610</v>
      </c>
      <c r="Z394" t="s">
        <v>25</v>
      </c>
      <c r="AI394" s="147">
        <v>103</v>
      </c>
      <c r="AJ394" s="147" t="s">
        <v>5093</v>
      </c>
      <c r="AK394" s="186">
        <v>1500000</v>
      </c>
      <c r="AL394" s="147">
        <v>6</v>
      </c>
      <c r="AM394" s="147">
        <f t="shared" si="75"/>
        <v>556</v>
      </c>
      <c r="AN394" s="147">
        <f t="shared" si="76"/>
        <v>834000000</v>
      </c>
      <c r="AO394" s="147" t="s">
        <v>5065</v>
      </c>
    </row>
    <row r="395" spans="16:46">
      <c r="R395" s="97" t="s">
        <v>4253</v>
      </c>
      <c r="S395" s="93">
        <v>21203</v>
      </c>
      <c r="U395" s="19" t="s">
        <v>5600</v>
      </c>
      <c r="V395" s="19">
        <v>41959</v>
      </c>
      <c r="W395" s="115">
        <v>2639.970566</v>
      </c>
      <c r="X395" s="115">
        <f t="shared" ref="X395:X549" si="77">V395*W395</f>
        <v>110770524.97879399</v>
      </c>
      <c r="Y395" s="259" t="s">
        <v>5097</v>
      </c>
      <c r="AI395" s="20">
        <v>104</v>
      </c>
      <c r="AJ395" s="20" t="s">
        <v>958</v>
      </c>
      <c r="AK395" s="115">
        <v>-3960043</v>
      </c>
      <c r="AL395" s="20">
        <v>2</v>
      </c>
      <c r="AM395" s="20">
        <f t="shared" si="75"/>
        <v>550</v>
      </c>
      <c r="AN395" s="20">
        <f t="shared" si="76"/>
        <v>-2178023650</v>
      </c>
      <c r="AO395" s="20"/>
    </row>
    <row r="396" spans="16:46">
      <c r="R396" s="97" t="s">
        <v>5110</v>
      </c>
      <c r="S396" s="93">
        <v>34550</v>
      </c>
      <c r="U396" s="19" t="s">
        <v>5612</v>
      </c>
      <c r="V396" s="19">
        <v>2486</v>
      </c>
      <c r="W396" s="115">
        <v>2688.7156100000002</v>
      </c>
      <c r="X396" s="115">
        <f t="shared" si="77"/>
        <v>6684147.0064600008</v>
      </c>
      <c r="Y396" s="259" t="s">
        <v>5097</v>
      </c>
      <c r="AI396" s="20">
        <v>105</v>
      </c>
      <c r="AJ396" s="20" t="s">
        <v>5111</v>
      </c>
      <c r="AK396" s="115">
        <v>230000</v>
      </c>
      <c r="AL396" s="20">
        <v>0</v>
      </c>
      <c r="AM396" s="20">
        <f t="shared" si="75"/>
        <v>548</v>
      </c>
      <c r="AN396" s="20">
        <f t="shared" si="76"/>
        <v>126040000</v>
      </c>
      <c r="AO396" s="20"/>
    </row>
    <row r="397" spans="16:46">
      <c r="R397" s="97" t="s">
        <v>5147</v>
      </c>
      <c r="S397" s="93">
        <v>-2134406</v>
      </c>
      <c r="U397" s="19" t="s">
        <v>5615</v>
      </c>
      <c r="V397" s="19">
        <v>652</v>
      </c>
      <c r="W397" s="115">
        <v>2801.4344030000002</v>
      </c>
      <c r="X397" s="115">
        <f t="shared" si="77"/>
        <v>1826535.2307560001</v>
      </c>
      <c r="Y397" s="259" t="s">
        <v>5097</v>
      </c>
      <c r="AI397" s="147">
        <v>106</v>
      </c>
      <c r="AJ397" s="147" t="s">
        <v>5111</v>
      </c>
      <c r="AK397" s="186">
        <v>230000</v>
      </c>
      <c r="AL397" s="147">
        <v>1</v>
      </c>
      <c r="AM397" s="147">
        <f t="shared" si="75"/>
        <v>548</v>
      </c>
      <c r="AN397" s="147">
        <f t="shared" si="76"/>
        <v>126040000</v>
      </c>
      <c r="AO397" s="147"/>
    </row>
    <row r="398" spans="16:46" ht="21" customHeight="1">
      <c r="R398" s="97" t="s">
        <v>5150</v>
      </c>
      <c r="S398" s="93">
        <v>-618906</v>
      </c>
      <c r="U398" s="187" t="s">
        <v>5615</v>
      </c>
      <c r="V398" s="187">
        <v>-536</v>
      </c>
      <c r="W398" s="186">
        <v>2801.4344030000002</v>
      </c>
      <c r="X398" s="186">
        <f t="shared" si="77"/>
        <v>-1501568.8400080001</v>
      </c>
      <c r="Y398" s="258" t="s">
        <v>5627</v>
      </c>
      <c r="AI398" s="147">
        <v>107</v>
      </c>
      <c r="AJ398" s="147" t="s">
        <v>5112</v>
      </c>
      <c r="AK398" s="186">
        <v>500000</v>
      </c>
      <c r="AL398" s="147">
        <v>1</v>
      </c>
      <c r="AM398" s="147">
        <f t="shared" si="75"/>
        <v>547</v>
      </c>
      <c r="AN398" s="147">
        <f t="shared" si="76"/>
        <v>273500000</v>
      </c>
      <c r="AO398" s="147"/>
    </row>
    <row r="399" spans="16:46">
      <c r="R399" s="97" t="s">
        <v>5192</v>
      </c>
      <c r="S399" s="93">
        <v>-54615</v>
      </c>
      <c r="U399" s="19" t="s">
        <v>5619</v>
      </c>
      <c r="V399" s="19">
        <v>1351</v>
      </c>
      <c r="W399" s="115">
        <v>2647.94</v>
      </c>
      <c r="X399" s="115">
        <f t="shared" si="77"/>
        <v>3577366.94</v>
      </c>
      <c r="Y399" s="259" t="s">
        <v>5097</v>
      </c>
      <c r="AI399" s="20">
        <v>108</v>
      </c>
      <c r="AJ399" s="20" t="s">
        <v>5115</v>
      </c>
      <c r="AK399" s="115">
        <v>-880000</v>
      </c>
      <c r="AL399" s="20">
        <v>4</v>
      </c>
      <c r="AM399" s="20">
        <f t="shared" si="75"/>
        <v>546</v>
      </c>
      <c r="AN399" s="20">
        <f t="shared" si="76"/>
        <v>-480480000</v>
      </c>
      <c r="AO399" s="20"/>
    </row>
    <row r="400" spans="16:46" ht="18" customHeight="1">
      <c r="R400" s="97" t="s">
        <v>5237</v>
      </c>
      <c r="S400" s="93">
        <v>18000000</v>
      </c>
      <c r="U400" s="19" t="s">
        <v>5621</v>
      </c>
      <c r="V400" s="19">
        <v>8402</v>
      </c>
      <c r="W400" s="115">
        <v>2527.8539839999999</v>
      </c>
      <c r="X400" s="115">
        <f t="shared" si="77"/>
        <v>21239029.173567999</v>
      </c>
      <c r="Y400" s="259" t="s">
        <v>5097</v>
      </c>
      <c r="AI400" s="191">
        <v>109</v>
      </c>
      <c r="AJ400" s="191" t="s">
        <v>5119</v>
      </c>
      <c r="AK400" s="192">
        <v>873000</v>
      </c>
      <c r="AL400" s="191">
        <v>0</v>
      </c>
      <c r="AM400" s="191">
        <f t="shared" si="75"/>
        <v>542</v>
      </c>
      <c r="AN400" s="191">
        <f t="shared" si="76"/>
        <v>473166000</v>
      </c>
      <c r="AO400" s="191" t="s">
        <v>5065</v>
      </c>
    </row>
    <row r="401" spans="18:46" ht="21" customHeight="1">
      <c r="R401" s="97" t="s">
        <v>5244</v>
      </c>
      <c r="S401" s="93">
        <v>20000000</v>
      </c>
      <c r="U401" s="19" t="s">
        <v>5624</v>
      </c>
      <c r="V401" s="19">
        <v>98141</v>
      </c>
      <c r="W401" s="115">
        <v>2475.593813</v>
      </c>
      <c r="X401" s="115">
        <f t="shared" si="77"/>
        <v>242957252.40163299</v>
      </c>
      <c r="Y401" s="259" t="s">
        <v>5097</v>
      </c>
      <c r="AE401" t="s">
        <v>25</v>
      </c>
      <c r="AI401" s="20">
        <v>110</v>
      </c>
      <c r="AJ401" s="20" t="s">
        <v>5119</v>
      </c>
      <c r="AK401" s="115">
        <v>127000</v>
      </c>
      <c r="AL401" s="20">
        <v>0</v>
      </c>
      <c r="AM401" s="20">
        <f t="shared" si="75"/>
        <v>542</v>
      </c>
      <c r="AN401" s="20">
        <f t="shared" si="76"/>
        <v>68834000</v>
      </c>
      <c r="AO401" s="20" t="s">
        <v>5065</v>
      </c>
    </row>
    <row r="402" spans="18:46">
      <c r="R402" s="97" t="s">
        <v>5318</v>
      </c>
      <c r="S402" s="93">
        <v>27694196</v>
      </c>
      <c r="U402" s="19" t="s">
        <v>5628</v>
      </c>
      <c r="V402" s="19">
        <v>2910</v>
      </c>
      <c r="W402" s="115">
        <v>2528.240988</v>
      </c>
      <c r="X402" s="115">
        <f t="shared" si="77"/>
        <v>7357181.2750800001</v>
      </c>
      <c r="Y402" s="259" t="s">
        <v>5097</v>
      </c>
      <c r="AA402" t="s">
        <v>25</v>
      </c>
      <c r="AI402" s="20">
        <v>111</v>
      </c>
      <c r="AJ402" s="20" t="s">
        <v>5119</v>
      </c>
      <c r="AK402" s="115">
        <v>73000</v>
      </c>
      <c r="AL402" s="20">
        <v>1</v>
      </c>
      <c r="AM402" s="20">
        <f t="shared" si="75"/>
        <v>542</v>
      </c>
      <c r="AN402" s="20">
        <f t="shared" si="76"/>
        <v>39566000</v>
      </c>
      <c r="AO402" s="20"/>
      <c r="AT402" t="s">
        <v>25</v>
      </c>
    </row>
    <row r="403" spans="18:46">
      <c r="R403" s="97" t="s">
        <v>5319</v>
      </c>
      <c r="S403" s="93">
        <v>7211722</v>
      </c>
      <c r="T403" t="s">
        <v>25</v>
      </c>
      <c r="U403" s="19" t="s">
        <v>5630</v>
      </c>
      <c r="V403" s="19">
        <v>5652</v>
      </c>
      <c r="W403" s="115">
        <v>2645.3312000000001</v>
      </c>
      <c r="X403" s="115">
        <f t="shared" si="77"/>
        <v>14951411.942400001</v>
      </c>
      <c r="Y403" s="259" t="s">
        <v>5097</v>
      </c>
      <c r="AI403" s="20">
        <v>112</v>
      </c>
      <c r="AJ403" s="20" t="s">
        <v>975</v>
      </c>
      <c r="AK403" s="115">
        <v>4300000</v>
      </c>
      <c r="AL403" s="20">
        <v>1</v>
      </c>
      <c r="AM403" s="20">
        <f t="shared" si="75"/>
        <v>541</v>
      </c>
      <c r="AN403" s="20">
        <f t="shared" si="76"/>
        <v>2326300000</v>
      </c>
      <c r="AO403" s="20"/>
    </row>
    <row r="404" spans="18:46">
      <c r="R404" s="97" t="s">
        <v>5323</v>
      </c>
      <c r="S404" s="93">
        <v>8481864</v>
      </c>
      <c r="U404" s="19" t="s">
        <v>5634</v>
      </c>
      <c r="V404" s="19">
        <v>18764</v>
      </c>
      <c r="W404" s="115">
        <v>2554.2639829999998</v>
      </c>
      <c r="X404" s="115">
        <f t="shared" si="77"/>
        <v>47928209.377011999</v>
      </c>
      <c r="Y404" s="259" t="s">
        <v>5097</v>
      </c>
      <c r="AI404" s="20">
        <v>113</v>
      </c>
      <c r="AJ404" s="20" t="s">
        <v>4995</v>
      </c>
      <c r="AK404" s="115">
        <v>1600000</v>
      </c>
      <c r="AL404" s="20">
        <v>0</v>
      </c>
      <c r="AM404" s="20">
        <f t="shared" si="75"/>
        <v>540</v>
      </c>
      <c r="AN404" s="20">
        <f t="shared" si="76"/>
        <v>864000000</v>
      </c>
      <c r="AO404" s="20"/>
    </row>
    <row r="405" spans="18:46">
      <c r="R405" s="97" t="s">
        <v>5327</v>
      </c>
      <c r="S405" s="93">
        <v>1558697</v>
      </c>
      <c r="U405" s="19" t="s">
        <v>5636</v>
      </c>
      <c r="V405" s="19">
        <v>930</v>
      </c>
      <c r="W405" s="115">
        <v>2453.3287089999999</v>
      </c>
      <c r="X405" s="115">
        <f t="shared" si="77"/>
        <v>2281595.69937</v>
      </c>
      <c r="Y405" s="259" t="s">
        <v>5097</v>
      </c>
      <c r="AB405" t="s">
        <v>25</v>
      </c>
      <c r="AI405" s="20">
        <v>114</v>
      </c>
      <c r="AJ405" s="20" t="s">
        <v>4253</v>
      </c>
      <c r="AK405" s="115">
        <v>-10000000</v>
      </c>
      <c r="AL405" s="20">
        <v>1</v>
      </c>
      <c r="AM405" s="20">
        <f t="shared" si="75"/>
        <v>540</v>
      </c>
      <c r="AN405" s="20">
        <f t="shared" si="76"/>
        <v>-5400000000</v>
      </c>
      <c r="AO405" s="20" t="s">
        <v>5125</v>
      </c>
    </row>
    <row r="406" spans="18:46">
      <c r="R406" s="97" t="s">
        <v>5328</v>
      </c>
      <c r="S406" s="93">
        <v>9042009</v>
      </c>
      <c r="U406" s="19" t="s">
        <v>5638</v>
      </c>
      <c r="V406" s="19">
        <v>1167</v>
      </c>
      <c r="W406" s="115">
        <v>2540.6307069999998</v>
      </c>
      <c r="X406" s="115">
        <f t="shared" si="77"/>
        <v>2964916.035069</v>
      </c>
      <c r="Y406" s="259" t="s">
        <v>5097</v>
      </c>
      <c r="AI406" s="20">
        <v>115</v>
      </c>
      <c r="AJ406" s="20" t="s">
        <v>5124</v>
      </c>
      <c r="AK406" s="115">
        <v>571000</v>
      </c>
      <c r="AL406" s="20">
        <v>4</v>
      </c>
      <c r="AM406" s="20">
        <f t="shared" si="75"/>
        <v>539</v>
      </c>
      <c r="AN406" s="20">
        <f t="shared" si="76"/>
        <v>307769000</v>
      </c>
      <c r="AO406" s="20"/>
    </row>
    <row r="407" spans="18:46">
      <c r="R407" s="97" t="s">
        <v>5332</v>
      </c>
      <c r="S407" s="93">
        <v>94969</v>
      </c>
      <c r="U407" s="19" t="s">
        <v>5639</v>
      </c>
      <c r="V407" s="19">
        <v>2538</v>
      </c>
      <c r="W407" s="115">
        <v>2545.5277489999999</v>
      </c>
      <c r="X407" s="115">
        <f t="shared" si="77"/>
        <v>6460549.4269619994</v>
      </c>
      <c r="Y407" s="259" t="s">
        <v>5097</v>
      </c>
      <c r="AA407" t="s">
        <v>25</v>
      </c>
      <c r="AB407" t="s">
        <v>25</v>
      </c>
      <c r="AI407" s="20">
        <v>116</v>
      </c>
      <c r="AJ407" s="20" t="s">
        <v>5126</v>
      </c>
      <c r="AK407" s="115">
        <v>200000</v>
      </c>
      <c r="AL407" s="20">
        <v>3</v>
      </c>
      <c r="AM407" s="20">
        <f t="shared" ref="AM407:AM418" si="78">AL407+AM408</f>
        <v>535</v>
      </c>
      <c r="AN407" s="20">
        <f t="shared" ref="AN407:AN418" si="79">AK407*AM407</f>
        <v>107000000</v>
      </c>
      <c r="AO407" s="20"/>
    </row>
    <row r="408" spans="18:46">
      <c r="R408" s="97" t="s">
        <v>5332</v>
      </c>
      <c r="S408" s="93">
        <v>40000000</v>
      </c>
      <c r="U408" s="19" t="s">
        <v>5641</v>
      </c>
      <c r="V408" s="19">
        <v>2106</v>
      </c>
      <c r="W408" s="115">
        <v>2474.9857059999999</v>
      </c>
      <c r="X408" s="115">
        <f t="shared" si="77"/>
        <v>5212319.8968359996</v>
      </c>
      <c r="Y408" s="259" t="s">
        <v>5097</v>
      </c>
      <c r="AB408" t="s">
        <v>25</v>
      </c>
      <c r="AI408" s="147">
        <v>117</v>
      </c>
      <c r="AJ408" s="147" t="s">
        <v>5132</v>
      </c>
      <c r="AK408" s="186">
        <v>50000</v>
      </c>
      <c r="AL408" s="147">
        <v>7</v>
      </c>
      <c r="AM408" s="147">
        <f t="shared" si="78"/>
        <v>532</v>
      </c>
      <c r="AN408" s="147">
        <f t="shared" si="79"/>
        <v>26600000</v>
      </c>
      <c r="AO408" s="147"/>
    </row>
    <row r="409" spans="18:46">
      <c r="R409" s="97" t="s">
        <v>5333</v>
      </c>
      <c r="S409" s="93">
        <v>2806274</v>
      </c>
      <c r="U409" s="19" t="s">
        <v>5644</v>
      </c>
      <c r="V409" s="19">
        <v>1801</v>
      </c>
      <c r="W409" s="115">
        <v>2512.2134809999998</v>
      </c>
      <c r="X409" s="115">
        <f t="shared" si="77"/>
        <v>4524496.4792809999</v>
      </c>
      <c r="Y409" s="259" t="s">
        <v>5097</v>
      </c>
      <c r="AI409" s="20">
        <v>118</v>
      </c>
      <c r="AJ409" s="20" t="s">
        <v>5140</v>
      </c>
      <c r="AK409" s="115">
        <v>-500000</v>
      </c>
      <c r="AL409" s="20">
        <v>12</v>
      </c>
      <c r="AM409" s="20">
        <f t="shared" si="78"/>
        <v>525</v>
      </c>
      <c r="AN409" s="20">
        <f t="shared" si="79"/>
        <v>-262500000</v>
      </c>
      <c r="AO409" s="20"/>
    </row>
    <row r="410" spans="18:46">
      <c r="R410" s="97" t="s">
        <v>5341</v>
      </c>
      <c r="S410" s="93">
        <v>1331702</v>
      </c>
      <c r="U410" s="19" t="s">
        <v>5646</v>
      </c>
      <c r="V410" s="19">
        <v>9184</v>
      </c>
      <c r="W410" s="115">
        <v>2489.76919</v>
      </c>
      <c r="X410" s="115">
        <f t="shared" si="77"/>
        <v>22866040.240959998</v>
      </c>
      <c r="Y410" s="259" t="s">
        <v>5097</v>
      </c>
      <c r="AI410" s="147">
        <v>119</v>
      </c>
      <c r="AJ410" s="147" t="s">
        <v>974</v>
      </c>
      <c r="AK410" s="186">
        <v>-50000</v>
      </c>
      <c r="AL410" s="147">
        <v>0</v>
      </c>
      <c r="AM410" s="147">
        <f t="shared" si="78"/>
        <v>513</v>
      </c>
      <c r="AN410" s="147">
        <f t="shared" si="79"/>
        <v>-25650000</v>
      </c>
      <c r="AO410" s="147"/>
    </row>
    <row r="411" spans="18:46">
      <c r="R411" s="97" t="s">
        <v>5375</v>
      </c>
      <c r="S411" s="93">
        <v>851238</v>
      </c>
      <c r="U411" s="19" t="s">
        <v>5648</v>
      </c>
      <c r="V411" s="19">
        <v>6259</v>
      </c>
      <c r="W411" s="115">
        <v>2453.954988</v>
      </c>
      <c r="X411" s="115">
        <f t="shared" si="77"/>
        <v>15359304.269892</v>
      </c>
      <c r="Y411" s="259" t="s">
        <v>5097</v>
      </c>
      <c r="Z411" t="s">
        <v>25</v>
      </c>
      <c r="AI411" s="20">
        <v>120</v>
      </c>
      <c r="AJ411" s="20" t="s">
        <v>974</v>
      </c>
      <c r="AK411" s="115">
        <v>-50000</v>
      </c>
      <c r="AL411" s="20">
        <v>28</v>
      </c>
      <c r="AM411" s="20">
        <f t="shared" si="78"/>
        <v>513</v>
      </c>
      <c r="AN411" s="20">
        <f t="shared" si="79"/>
        <v>-25650000</v>
      </c>
      <c r="AO411" s="20"/>
    </row>
    <row r="412" spans="18:46">
      <c r="R412" s="97" t="s">
        <v>5418</v>
      </c>
      <c r="S412" s="93">
        <v>652592</v>
      </c>
      <c r="U412" s="19" t="s">
        <v>5650</v>
      </c>
      <c r="V412" s="19">
        <v>1223</v>
      </c>
      <c r="W412" s="115">
        <v>2345.4686710000001</v>
      </c>
      <c r="X412" s="115">
        <f t="shared" si="77"/>
        <v>2868508.1846330003</v>
      </c>
      <c r="Y412" s="259" t="s">
        <v>5097</v>
      </c>
      <c r="AI412" s="20">
        <v>121</v>
      </c>
      <c r="AJ412" s="20" t="s">
        <v>5181</v>
      </c>
      <c r="AK412" s="115">
        <v>-3020625</v>
      </c>
      <c r="AL412" s="20">
        <v>18</v>
      </c>
      <c r="AM412" s="20">
        <f t="shared" si="78"/>
        <v>485</v>
      </c>
      <c r="AN412" s="20">
        <f t="shared" si="79"/>
        <v>-1465003125</v>
      </c>
      <c r="AO412" s="20"/>
    </row>
    <row r="413" spans="18:46">
      <c r="R413" s="97" t="s">
        <v>5419</v>
      </c>
      <c r="S413" s="93">
        <v>554139</v>
      </c>
      <c r="U413" s="19" t="s">
        <v>5651</v>
      </c>
      <c r="V413" s="19">
        <v>7804</v>
      </c>
      <c r="W413" s="115">
        <v>2236.0831640000001</v>
      </c>
      <c r="X413" s="115">
        <f t="shared" si="77"/>
        <v>17450393.011856001</v>
      </c>
      <c r="Y413" s="259" t="s">
        <v>5097</v>
      </c>
      <c r="AI413" s="20">
        <v>122</v>
      </c>
      <c r="AJ413" s="20" t="s">
        <v>5192</v>
      </c>
      <c r="AK413" s="115">
        <v>18000000</v>
      </c>
      <c r="AL413" s="20">
        <v>19</v>
      </c>
      <c r="AM413" s="20">
        <f t="shared" si="78"/>
        <v>467</v>
      </c>
      <c r="AN413" s="20">
        <f t="shared" si="79"/>
        <v>8406000000</v>
      </c>
      <c r="AO413" s="20"/>
      <c r="AS413" t="s">
        <v>25</v>
      </c>
    </row>
    <row r="414" spans="18:46">
      <c r="R414" s="97" t="s">
        <v>5420</v>
      </c>
      <c r="S414" s="93">
        <v>70373089</v>
      </c>
      <c r="U414" s="19" t="s">
        <v>5652</v>
      </c>
      <c r="V414" s="19">
        <v>14589</v>
      </c>
      <c r="W414" s="115">
        <v>2151.5486500000002</v>
      </c>
      <c r="X414" s="115">
        <f t="shared" si="77"/>
        <v>31388943.254850004</v>
      </c>
      <c r="Y414" s="259" t="s">
        <v>5097</v>
      </c>
      <c r="AI414" s="20">
        <v>123</v>
      </c>
      <c r="AJ414" s="20" t="s">
        <v>5219</v>
      </c>
      <c r="AK414" s="115">
        <v>2000000</v>
      </c>
      <c r="AL414" s="20">
        <v>6</v>
      </c>
      <c r="AM414" s="20">
        <f t="shared" si="78"/>
        <v>448</v>
      </c>
      <c r="AN414" s="20">
        <f t="shared" si="79"/>
        <v>896000000</v>
      </c>
      <c r="AO414" s="20"/>
    </row>
    <row r="415" spans="18:46">
      <c r="R415" s="97" t="s">
        <v>5421</v>
      </c>
      <c r="S415" s="93">
        <v>1219655</v>
      </c>
      <c r="U415" s="19" t="s">
        <v>5653</v>
      </c>
      <c r="V415" s="19">
        <v>14741</v>
      </c>
      <c r="W415" s="115">
        <v>2097.0148140000001</v>
      </c>
      <c r="X415" s="115">
        <f t="shared" si="77"/>
        <v>30912095.373174001</v>
      </c>
      <c r="Y415" s="259" t="s">
        <v>5097</v>
      </c>
      <c r="Z415" t="s">
        <v>25</v>
      </c>
      <c r="AI415" s="147">
        <v>124</v>
      </c>
      <c r="AJ415" s="147" t="s">
        <v>5228</v>
      </c>
      <c r="AK415" s="186">
        <v>40000000</v>
      </c>
      <c r="AL415" s="147">
        <v>6</v>
      </c>
      <c r="AM415" s="147">
        <f t="shared" si="78"/>
        <v>442</v>
      </c>
      <c r="AN415" s="147">
        <f t="shared" si="79"/>
        <v>17680000000</v>
      </c>
      <c r="AO415" s="147"/>
      <c r="AT415" t="s">
        <v>25</v>
      </c>
    </row>
    <row r="416" spans="18:46">
      <c r="R416" s="97" t="s">
        <v>5422</v>
      </c>
      <c r="S416" s="93">
        <v>15350146</v>
      </c>
      <c r="U416" s="19" t="s">
        <v>5655</v>
      </c>
      <c r="V416" s="19">
        <v>10237</v>
      </c>
      <c r="W416" s="115">
        <v>1914.9092619999999</v>
      </c>
      <c r="X416" s="115">
        <f t="shared" si="77"/>
        <v>19602926.115093999</v>
      </c>
      <c r="Y416" s="259" t="s">
        <v>5097</v>
      </c>
      <c r="AA416" t="s">
        <v>25</v>
      </c>
      <c r="AI416" s="20">
        <v>125</v>
      </c>
      <c r="AJ416" s="20" t="s">
        <v>5237</v>
      </c>
      <c r="AK416" s="115">
        <v>200000</v>
      </c>
      <c r="AL416" s="20">
        <v>0</v>
      </c>
      <c r="AM416" s="20">
        <f t="shared" si="78"/>
        <v>436</v>
      </c>
      <c r="AN416" s="20">
        <f t="shared" si="79"/>
        <v>87200000</v>
      </c>
      <c r="AO416" s="20"/>
    </row>
    <row r="417" spans="18:46">
      <c r="R417" s="97" t="s">
        <v>5426</v>
      </c>
      <c r="S417" s="93">
        <v>121018</v>
      </c>
      <c r="U417" s="19" t="s">
        <v>5659</v>
      </c>
      <c r="V417" s="19">
        <v>19211</v>
      </c>
      <c r="W417" s="115">
        <v>1793.6906100000001</v>
      </c>
      <c r="X417" s="115">
        <f t="shared" si="77"/>
        <v>34458590.308710001</v>
      </c>
      <c r="Y417" s="259" t="s">
        <v>5097</v>
      </c>
      <c r="AA417" t="s">
        <v>25</v>
      </c>
      <c r="AI417" s="147">
        <v>126</v>
      </c>
      <c r="AJ417" s="147" t="s">
        <v>5237</v>
      </c>
      <c r="AK417" s="186">
        <v>200000</v>
      </c>
      <c r="AL417" s="147">
        <v>1</v>
      </c>
      <c r="AM417" s="147">
        <f t="shared" si="78"/>
        <v>436</v>
      </c>
      <c r="AN417" s="147">
        <f t="shared" si="79"/>
        <v>87200000</v>
      </c>
      <c r="AO417" s="147"/>
      <c r="AS417" t="s">
        <v>25</v>
      </c>
      <c r="AT417" t="s">
        <v>25</v>
      </c>
    </row>
    <row r="418" spans="18:46">
      <c r="R418" s="97" t="s">
        <v>5438</v>
      </c>
      <c r="S418" s="93">
        <v>1024993</v>
      </c>
      <c r="U418" s="19" t="s">
        <v>5661</v>
      </c>
      <c r="V418" s="19">
        <v>11599</v>
      </c>
      <c r="W418" s="115">
        <v>1870.667144</v>
      </c>
      <c r="X418" s="115">
        <f t="shared" si="77"/>
        <v>21697868.203256</v>
      </c>
      <c r="Y418" s="259" t="s">
        <v>5097</v>
      </c>
      <c r="Z418" t="s">
        <v>25</v>
      </c>
      <c r="AI418" s="20">
        <v>127</v>
      </c>
      <c r="AJ418" s="20" t="s">
        <v>5240</v>
      </c>
      <c r="AK418" s="115">
        <v>50000</v>
      </c>
      <c r="AL418" s="20">
        <v>4</v>
      </c>
      <c r="AM418" s="20">
        <f t="shared" si="78"/>
        <v>435</v>
      </c>
      <c r="AN418" s="20">
        <f t="shared" si="79"/>
        <v>21750000</v>
      </c>
      <c r="AO418" s="20"/>
    </row>
    <row r="419" spans="18:46">
      <c r="R419" s="97" t="s">
        <v>5439</v>
      </c>
      <c r="S419" s="93">
        <v>1948077</v>
      </c>
      <c r="U419" s="19" t="s">
        <v>5663</v>
      </c>
      <c r="V419" s="19">
        <v>14098</v>
      </c>
      <c r="W419" s="115">
        <v>1797.423695</v>
      </c>
      <c r="X419" s="115">
        <f t="shared" si="77"/>
        <v>25340079.252110001</v>
      </c>
      <c r="Y419" s="259" t="s">
        <v>5097</v>
      </c>
      <c r="AI419" s="20">
        <v>128</v>
      </c>
      <c r="AJ419" s="20" t="s">
        <v>5242</v>
      </c>
      <c r="AK419" s="115">
        <v>100000</v>
      </c>
      <c r="AL419" s="20">
        <v>9</v>
      </c>
      <c r="AM419" s="20">
        <f t="shared" ref="AM419:AM429" si="80">AL419+AM420</f>
        <v>431</v>
      </c>
      <c r="AN419" s="20">
        <f t="shared" ref="AN419:AN429" si="81">AK419*AM419</f>
        <v>43100000</v>
      </c>
      <c r="AO419" s="20"/>
    </row>
    <row r="420" spans="18:46">
      <c r="R420" s="97" t="s">
        <v>5440</v>
      </c>
      <c r="S420" s="93">
        <v>50000120</v>
      </c>
      <c r="U420" s="19" t="s">
        <v>5664</v>
      </c>
      <c r="V420" s="19">
        <v>8497</v>
      </c>
      <c r="W420" s="115">
        <v>1739.5531579999999</v>
      </c>
      <c r="X420" s="115">
        <f t="shared" si="77"/>
        <v>14780983.183526</v>
      </c>
      <c r="Y420" s="259" t="s">
        <v>5097</v>
      </c>
      <c r="AI420" s="20">
        <v>129</v>
      </c>
      <c r="AJ420" s="20" t="s">
        <v>5258</v>
      </c>
      <c r="AK420" s="115">
        <v>-550000</v>
      </c>
      <c r="AL420" s="20">
        <v>5</v>
      </c>
      <c r="AM420" s="20">
        <f t="shared" si="80"/>
        <v>422</v>
      </c>
      <c r="AN420" s="20">
        <f t="shared" si="81"/>
        <v>-232100000</v>
      </c>
      <c r="AO420" s="20"/>
      <c r="AS420" t="s">
        <v>25</v>
      </c>
    </row>
    <row r="421" spans="18:46" ht="30">
      <c r="R421" s="97" t="s">
        <v>5463</v>
      </c>
      <c r="S421" s="93">
        <v>20000055</v>
      </c>
      <c r="U421" s="277" t="s">
        <v>5667</v>
      </c>
      <c r="V421" s="277">
        <v>163820</v>
      </c>
      <c r="W421" s="88">
        <v>1588.685326</v>
      </c>
      <c r="X421" s="88">
        <f t="shared" si="77"/>
        <v>260258430.10532001</v>
      </c>
      <c r="Y421" s="287" t="s">
        <v>5669</v>
      </c>
      <c r="AI421" s="20">
        <v>130</v>
      </c>
      <c r="AJ421" s="20" t="s">
        <v>5263</v>
      </c>
      <c r="AK421" s="115">
        <v>-29686490</v>
      </c>
      <c r="AL421" s="20">
        <v>1</v>
      </c>
      <c r="AM421" s="20">
        <f t="shared" si="80"/>
        <v>417</v>
      </c>
      <c r="AN421" s="20">
        <f t="shared" si="81"/>
        <v>-12379266330</v>
      </c>
      <c r="AO421" s="20"/>
    </row>
    <row r="422" spans="18:46">
      <c r="R422" s="97" t="s">
        <v>5464</v>
      </c>
      <c r="S422" s="93">
        <v>5745697</v>
      </c>
      <c r="U422" s="19" t="s">
        <v>5667</v>
      </c>
      <c r="V422" s="19">
        <v>11207</v>
      </c>
      <c r="W422" s="115">
        <v>1588.685326</v>
      </c>
      <c r="X422" s="115">
        <f t="shared" si="77"/>
        <v>17804396.448481999</v>
      </c>
      <c r="Y422" s="259" t="s">
        <v>5097</v>
      </c>
      <c r="Z422" t="s">
        <v>25</v>
      </c>
      <c r="AA422" t="s">
        <v>25</v>
      </c>
      <c r="AI422" s="20">
        <v>131</v>
      </c>
      <c r="AJ422" s="20" t="s">
        <v>5271</v>
      </c>
      <c r="AK422" s="115">
        <v>-9000000</v>
      </c>
      <c r="AL422" s="20">
        <v>8</v>
      </c>
      <c r="AM422" s="20">
        <f t="shared" si="80"/>
        <v>416</v>
      </c>
      <c r="AN422" s="20">
        <f t="shared" si="81"/>
        <v>-3744000000</v>
      </c>
      <c r="AO422" s="20"/>
    </row>
    <row r="423" spans="18:46">
      <c r="R423" s="97" t="s">
        <v>5465</v>
      </c>
      <c r="S423" s="93">
        <v>908158</v>
      </c>
      <c r="U423" s="19" t="s">
        <v>5670</v>
      </c>
      <c r="V423" s="19">
        <v>7198</v>
      </c>
      <c r="W423" s="115">
        <v>1602.9918909999999</v>
      </c>
      <c r="X423" s="115">
        <f t="shared" si="77"/>
        <v>11538335.631417999</v>
      </c>
      <c r="Y423" s="259" t="s">
        <v>5097</v>
      </c>
      <c r="Z423" t="s">
        <v>25</v>
      </c>
      <c r="AI423" s="20">
        <v>132</v>
      </c>
      <c r="AJ423" s="20" t="s">
        <v>5314</v>
      </c>
      <c r="AK423" s="115">
        <v>810000</v>
      </c>
      <c r="AL423" s="20">
        <v>2</v>
      </c>
      <c r="AM423" s="20">
        <f t="shared" si="80"/>
        <v>408</v>
      </c>
      <c r="AN423" s="20">
        <f t="shared" si="81"/>
        <v>330480000</v>
      </c>
      <c r="AO423" s="20"/>
    </row>
    <row r="424" spans="18:46">
      <c r="R424" s="97" t="s">
        <v>5466</v>
      </c>
      <c r="S424" s="93">
        <v>12642697</v>
      </c>
      <c r="T424" t="s">
        <v>25</v>
      </c>
      <c r="U424" s="19" t="s">
        <v>5671</v>
      </c>
      <c r="V424" s="19">
        <v>7804</v>
      </c>
      <c r="W424" s="115">
        <v>1592.7111440000001</v>
      </c>
      <c r="X424" s="115">
        <f t="shared" si="77"/>
        <v>12429517.767776001</v>
      </c>
      <c r="Y424" s="259" t="s">
        <v>5097</v>
      </c>
      <c r="AA424" t="s">
        <v>25</v>
      </c>
      <c r="AI424" s="20">
        <v>133</v>
      </c>
      <c r="AJ424" s="20" t="s">
        <v>5319</v>
      </c>
      <c r="AK424" s="115">
        <v>-5000000</v>
      </c>
      <c r="AL424" s="20">
        <v>3</v>
      </c>
      <c r="AM424" s="20">
        <f t="shared" si="80"/>
        <v>406</v>
      </c>
      <c r="AN424" s="20">
        <f t="shared" si="81"/>
        <v>-2030000000</v>
      </c>
      <c r="AO424" s="20"/>
    </row>
    <row r="425" spans="18:46">
      <c r="R425" s="97" t="s">
        <v>5467</v>
      </c>
      <c r="S425" s="93">
        <v>12297317.81435</v>
      </c>
      <c r="U425" s="19" t="s">
        <v>5679</v>
      </c>
      <c r="V425" s="19">
        <v>2827</v>
      </c>
      <c r="W425" s="115">
        <v>1779.6874809999999</v>
      </c>
      <c r="X425" s="115">
        <f t="shared" si="77"/>
        <v>5031176.5087869996</v>
      </c>
      <c r="Y425" s="259" t="s">
        <v>5097</v>
      </c>
      <c r="Z425" t="s">
        <v>25</v>
      </c>
      <c r="AI425" s="20">
        <v>134</v>
      </c>
      <c r="AJ425" s="20" t="s">
        <v>5323</v>
      </c>
      <c r="AK425" s="115">
        <v>-26000000</v>
      </c>
      <c r="AL425" s="20">
        <v>0</v>
      </c>
      <c r="AM425" s="20">
        <f t="shared" si="80"/>
        <v>403</v>
      </c>
      <c r="AN425" s="20">
        <f t="shared" si="81"/>
        <v>-10478000000</v>
      </c>
      <c r="AO425" s="20"/>
    </row>
    <row r="426" spans="18:46">
      <c r="R426" s="97" t="s">
        <v>5468</v>
      </c>
      <c r="S426" s="93">
        <v>8959643.8508579992</v>
      </c>
      <c r="U426" s="19" t="s">
        <v>5681</v>
      </c>
      <c r="V426" s="19">
        <v>3385</v>
      </c>
      <c r="W426" s="115">
        <v>2015.5993820000001</v>
      </c>
      <c r="X426" s="115">
        <f t="shared" si="77"/>
        <v>6822803.9080700008</v>
      </c>
      <c r="Y426" s="259" t="s">
        <v>5097</v>
      </c>
      <c r="Z426" t="s">
        <v>25</v>
      </c>
      <c r="AA426" t="s">
        <v>25</v>
      </c>
      <c r="AI426" s="239">
        <v>135</v>
      </c>
      <c r="AJ426" s="239" t="s">
        <v>5323</v>
      </c>
      <c r="AK426" s="230">
        <v>-26000000</v>
      </c>
      <c r="AL426" s="239">
        <v>1</v>
      </c>
      <c r="AM426" s="239">
        <f t="shared" si="80"/>
        <v>403</v>
      </c>
      <c r="AN426" s="239">
        <f t="shared" si="81"/>
        <v>-10478000000</v>
      </c>
      <c r="AO426" s="239"/>
    </row>
    <row r="427" spans="18:46">
      <c r="R427" s="97" t="s">
        <v>5483</v>
      </c>
      <c r="S427" s="93">
        <v>15154095.839328</v>
      </c>
      <c r="U427" s="19" t="s">
        <v>5685</v>
      </c>
      <c r="V427" s="19">
        <v>158</v>
      </c>
      <c r="W427" s="115">
        <v>2094.2388179999998</v>
      </c>
      <c r="X427" s="115">
        <f t="shared" si="77"/>
        <v>330889.73324399994</v>
      </c>
      <c r="Y427" s="259" t="s">
        <v>5097</v>
      </c>
      <c r="Z427" t="s">
        <v>25</v>
      </c>
      <c r="AI427" s="20">
        <v>136</v>
      </c>
      <c r="AJ427" s="20" t="s">
        <v>5327</v>
      </c>
      <c r="AK427" s="115">
        <v>-81800000</v>
      </c>
      <c r="AL427" s="20">
        <v>0</v>
      </c>
      <c r="AM427" s="20">
        <f t="shared" si="80"/>
        <v>402</v>
      </c>
      <c r="AN427" s="20">
        <f t="shared" si="81"/>
        <v>-32883600000</v>
      </c>
      <c r="AO427" s="20"/>
    </row>
    <row r="428" spans="18:46">
      <c r="R428" s="97" t="s">
        <v>5484</v>
      </c>
      <c r="S428" s="93">
        <v>50725508.571864001</v>
      </c>
      <c r="T428" t="s">
        <v>25</v>
      </c>
      <c r="U428" s="19" t="s">
        <v>963</v>
      </c>
      <c r="V428" s="19">
        <v>5033</v>
      </c>
      <c r="W428" s="115">
        <v>2229.4976999999999</v>
      </c>
      <c r="X428" s="115">
        <f t="shared" si="77"/>
        <v>11221061.924099999</v>
      </c>
      <c r="Y428" s="259" t="s">
        <v>5690</v>
      </c>
      <c r="AA428" t="s">
        <v>25</v>
      </c>
      <c r="AI428" s="239">
        <v>137</v>
      </c>
      <c r="AJ428" s="239" t="s">
        <v>5327</v>
      </c>
      <c r="AK428" s="230">
        <v>-110000000</v>
      </c>
      <c r="AL428" s="239">
        <v>1</v>
      </c>
      <c r="AM428" s="239">
        <f t="shared" si="80"/>
        <v>402</v>
      </c>
      <c r="AN428" s="239">
        <f t="shared" si="81"/>
        <v>-44220000000</v>
      </c>
      <c r="AO428" s="239"/>
    </row>
    <row r="429" spans="18:46">
      <c r="R429" s="97" t="s">
        <v>5491</v>
      </c>
      <c r="S429" s="93">
        <v>2281961.458596</v>
      </c>
      <c r="U429" s="19" t="s">
        <v>5694</v>
      </c>
      <c r="V429" s="19">
        <v>2870</v>
      </c>
      <c r="W429" s="115">
        <v>2303.2467459999998</v>
      </c>
      <c r="X429" s="115">
        <f t="shared" si="77"/>
        <v>6610318.1610199995</v>
      </c>
      <c r="Y429" s="259" t="s">
        <v>5097</v>
      </c>
      <c r="AI429" s="20">
        <v>138</v>
      </c>
      <c r="AJ429" s="20" t="s">
        <v>5328</v>
      </c>
      <c r="AK429" s="115">
        <v>-34000000</v>
      </c>
      <c r="AL429" s="20">
        <v>0</v>
      </c>
      <c r="AM429" s="20">
        <f t="shared" si="80"/>
        <v>401</v>
      </c>
      <c r="AN429" s="20">
        <f t="shared" si="81"/>
        <v>-13634000000</v>
      </c>
      <c r="AO429" s="20"/>
    </row>
    <row r="430" spans="18:46">
      <c r="R430" s="97" t="s">
        <v>5492</v>
      </c>
      <c r="S430" s="93">
        <v>10998285</v>
      </c>
      <c r="U430" s="19" t="s">
        <v>5695</v>
      </c>
      <c r="V430" s="19">
        <v>307</v>
      </c>
      <c r="W430" s="115">
        <v>2315.0266360000001</v>
      </c>
      <c r="X430" s="115">
        <f t="shared" si="77"/>
        <v>710713.17725199996</v>
      </c>
      <c r="Y430" s="259" t="s">
        <v>5097</v>
      </c>
      <c r="AI430" s="147">
        <v>139</v>
      </c>
      <c r="AJ430" s="147" t="s">
        <v>5328</v>
      </c>
      <c r="AK430" s="186">
        <v>-23900000</v>
      </c>
      <c r="AL430" s="147">
        <v>5</v>
      </c>
      <c r="AM430" s="147">
        <f t="shared" ref="AM430:AM435" si="82">AL430+AM431</f>
        <v>401</v>
      </c>
      <c r="AN430" s="147">
        <f t="shared" ref="AN430:AN435" si="83">AK430*AM430</f>
        <v>-9583900000</v>
      </c>
      <c r="AO430" s="147"/>
    </row>
    <row r="431" spans="18:46" ht="30">
      <c r="R431" s="97" t="s">
        <v>5494</v>
      </c>
      <c r="S431" s="93">
        <v>983018.96187300002</v>
      </c>
      <c r="U431" s="19" t="s">
        <v>5697</v>
      </c>
      <c r="V431" s="19">
        <v>35</v>
      </c>
      <c r="W431" s="115">
        <v>2315</v>
      </c>
      <c r="X431" s="115">
        <f t="shared" si="77"/>
        <v>81025</v>
      </c>
      <c r="Y431" s="259" t="s">
        <v>5699</v>
      </c>
      <c r="Z431" s="112"/>
      <c r="AI431" s="20">
        <v>140</v>
      </c>
      <c r="AJ431" s="20" t="s">
        <v>5341</v>
      </c>
      <c r="AK431" s="115">
        <v>1000000</v>
      </c>
      <c r="AL431" s="20">
        <v>0</v>
      </c>
      <c r="AM431" s="20">
        <f t="shared" si="82"/>
        <v>396</v>
      </c>
      <c r="AN431" s="20">
        <f t="shared" si="83"/>
        <v>396000000</v>
      </c>
      <c r="AO431" s="20"/>
    </row>
    <row r="432" spans="18:46">
      <c r="R432" s="97" t="s">
        <v>5497</v>
      </c>
      <c r="S432" s="93">
        <v>17049271.032000002</v>
      </c>
      <c r="U432" s="19" t="s">
        <v>5700</v>
      </c>
      <c r="V432" s="19">
        <v>94</v>
      </c>
      <c r="W432" s="115">
        <v>2337.1980119999998</v>
      </c>
      <c r="X432" s="115">
        <f t="shared" si="77"/>
        <v>219696.613128</v>
      </c>
      <c r="Y432" s="259" t="s">
        <v>5097</v>
      </c>
      <c r="Z432" t="s">
        <v>25</v>
      </c>
      <c r="AA432" t="s">
        <v>25</v>
      </c>
      <c r="AI432" s="147">
        <v>141</v>
      </c>
      <c r="AJ432" s="147" t="s">
        <v>5341</v>
      </c>
      <c r="AK432" s="186">
        <v>1000000</v>
      </c>
      <c r="AL432" s="147">
        <v>4</v>
      </c>
      <c r="AM432" s="147">
        <f t="shared" si="82"/>
        <v>396</v>
      </c>
      <c r="AN432" s="147">
        <f t="shared" si="83"/>
        <v>396000000</v>
      </c>
      <c r="AO432" s="147"/>
    </row>
    <row r="433" spans="18:46">
      <c r="R433" s="97" t="s">
        <v>4209</v>
      </c>
      <c r="S433" s="93">
        <v>6829998</v>
      </c>
      <c r="U433" s="19" t="s">
        <v>5701</v>
      </c>
      <c r="V433" s="19">
        <v>2534</v>
      </c>
      <c r="W433" s="115">
        <v>2381.7965300000001</v>
      </c>
      <c r="X433" s="115">
        <f t="shared" si="77"/>
        <v>6035472.4070199998</v>
      </c>
      <c r="Y433" s="259" t="s">
        <v>5097</v>
      </c>
      <c r="AI433" s="20">
        <v>142</v>
      </c>
      <c r="AJ433" s="20" t="s">
        <v>5347</v>
      </c>
      <c r="AK433" s="115">
        <v>400000</v>
      </c>
      <c r="AL433" s="20">
        <v>0</v>
      </c>
      <c r="AM433" s="20">
        <f t="shared" si="82"/>
        <v>392</v>
      </c>
      <c r="AN433" s="20">
        <f t="shared" si="83"/>
        <v>156800000</v>
      </c>
      <c r="AO433" s="20"/>
    </row>
    <row r="434" spans="18:46">
      <c r="R434" s="97" t="s">
        <v>5517</v>
      </c>
      <c r="S434" s="93">
        <v>6982608.8207999999</v>
      </c>
      <c r="U434" s="19" t="s">
        <v>5702</v>
      </c>
      <c r="V434" s="19">
        <v>424</v>
      </c>
      <c r="W434" s="115">
        <v>2321.9017680000002</v>
      </c>
      <c r="X434" s="115">
        <f t="shared" si="77"/>
        <v>984486.34963200008</v>
      </c>
      <c r="Y434" s="259" t="s">
        <v>5097</v>
      </c>
      <c r="AA434" t="s">
        <v>25</v>
      </c>
      <c r="AI434" s="147">
        <v>143</v>
      </c>
      <c r="AJ434" s="147" t="s">
        <v>5347</v>
      </c>
      <c r="AK434" s="186">
        <v>400000</v>
      </c>
      <c r="AL434" s="147">
        <v>35</v>
      </c>
      <c r="AM434" s="147">
        <f t="shared" si="82"/>
        <v>392</v>
      </c>
      <c r="AN434" s="147">
        <f t="shared" si="83"/>
        <v>156800000</v>
      </c>
      <c r="AO434" s="147"/>
    </row>
    <row r="435" spans="18:46">
      <c r="R435" s="97" t="s">
        <v>5523</v>
      </c>
      <c r="S435" s="93">
        <v>7510131.0216000006</v>
      </c>
      <c r="U435" s="187" t="s">
        <v>5703</v>
      </c>
      <c r="V435" s="187">
        <v>-32</v>
      </c>
      <c r="W435" s="186">
        <v>2221.2123710000001</v>
      </c>
      <c r="X435" s="186">
        <f t="shared" si="77"/>
        <v>-71078.795872000002</v>
      </c>
      <c r="Y435" s="258" t="s">
        <v>5706</v>
      </c>
      <c r="AI435" s="20">
        <v>144</v>
      </c>
      <c r="AJ435" s="20" t="s">
        <v>5381</v>
      </c>
      <c r="AK435" s="115">
        <v>3000000</v>
      </c>
      <c r="AL435" s="20">
        <v>0</v>
      </c>
      <c r="AM435" s="20">
        <f t="shared" si="82"/>
        <v>357</v>
      </c>
      <c r="AN435" s="20">
        <f t="shared" si="83"/>
        <v>1071000000</v>
      </c>
      <c r="AO435" s="20"/>
      <c r="AR435" t="s">
        <v>25</v>
      </c>
    </row>
    <row r="436" spans="18:46">
      <c r="R436" s="97" t="s">
        <v>5532</v>
      </c>
      <c r="S436" s="93">
        <v>7278025.5327000003</v>
      </c>
      <c r="U436" s="19" t="s">
        <v>5703</v>
      </c>
      <c r="V436" s="19">
        <v>157</v>
      </c>
      <c r="W436" s="115">
        <v>2221.2123710000001</v>
      </c>
      <c r="X436" s="115">
        <f t="shared" si="77"/>
        <v>348730.34224700002</v>
      </c>
      <c r="Y436" s="259" t="s">
        <v>5707</v>
      </c>
      <c r="AI436" s="147">
        <v>145</v>
      </c>
      <c r="AJ436" s="147" t="s">
        <v>5381</v>
      </c>
      <c r="AK436" s="186">
        <v>2725000</v>
      </c>
      <c r="AL436" s="147">
        <v>19</v>
      </c>
      <c r="AM436" s="147">
        <f t="shared" ref="AM436:AM446" si="84">AL436+AM437</f>
        <v>357</v>
      </c>
      <c r="AN436" s="147">
        <f t="shared" ref="AN436:AN446" si="85">AK436*AM436</f>
        <v>972825000</v>
      </c>
      <c r="AO436" s="147"/>
    </row>
    <row r="437" spans="18:46">
      <c r="R437" s="97" t="s">
        <v>5537</v>
      </c>
      <c r="S437" s="93">
        <v>195059.35799999998</v>
      </c>
      <c r="T437" t="s">
        <v>25</v>
      </c>
      <c r="U437" s="19" t="s">
        <v>5703</v>
      </c>
      <c r="V437" s="19">
        <v>965</v>
      </c>
      <c r="W437" s="115">
        <v>2221.2123710000001</v>
      </c>
      <c r="X437" s="115">
        <f t="shared" si="77"/>
        <v>2143469.938015</v>
      </c>
      <c r="Y437" s="259" t="s">
        <v>5097</v>
      </c>
      <c r="AI437" s="147">
        <v>146</v>
      </c>
      <c r="AJ437" s="147" t="s">
        <v>5280</v>
      </c>
      <c r="AK437" s="186">
        <v>-8644090</v>
      </c>
      <c r="AL437" s="147">
        <v>0</v>
      </c>
      <c r="AM437" s="147">
        <f t="shared" si="84"/>
        <v>338</v>
      </c>
      <c r="AN437" s="147">
        <f t="shared" si="85"/>
        <v>-2921702420</v>
      </c>
      <c r="AO437" s="147" t="s">
        <v>4726</v>
      </c>
    </row>
    <row r="438" spans="18:46">
      <c r="R438" s="97" t="s">
        <v>5539</v>
      </c>
      <c r="S438" s="93">
        <v>862577.83200000005</v>
      </c>
      <c r="U438" s="187" t="s">
        <v>5709</v>
      </c>
      <c r="V438" s="187">
        <v>596</v>
      </c>
      <c r="W438" s="186">
        <v>2180.6765719999999</v>
      </c>
      <c r="X438" s="186">
        <f t="shared" si="77"/>
        <v>1299683.236912</v>
      </c>
      <c r="Y438" s="258" t="s">
        <v>1069</v>
      </c>
      <c r="Z438" t="s">
        <v>25</v>
      </c>
      <c r="AI438" s="20">
        <v>147</v>
      </c>
      <c r="AJ438" s="20" t="s">
        <v>5280</v>
      </c>
      <c r="AK438" s="115">
        <v>-65461942</v>
      </c>
      <c r="AL438" s="20">
        <v>1</v>
      </c>
      <c r="AM438" s="20">
        <f t="shared" si="84"/>
        <v>338</v>
      </c>
      <c r="AN438" s="20">
        <f t="shared" si="85"/>
        <v>-22126136396</v>
      </c>
      <c r="AO438" s="20" t="s">
        <v>4726</v>
      </c>
    </row>
    <row r="439" spans="18:46">
      <c r="R439" s="97" t="s">
        <v>5540</v>
      </c>
      <c r="S439" s="93">
        <v>920308.446</v>
      </c>
      <c r="U439" s="19" t="s">
        <v>5713</v>
      </c>
      <c r="V439" s="19">
        <v>1355</v>
      </c>
      <c r="W439" s="115">
        <v>2277.0926330000002</v>
      </c>
      <c r="X439" s="115">
        <f t="shared" si="77"/>
        <v>3085460.5177150001</v>
      </c>
      <c r="Y439" s="259" t="s">
        <v>5097</v>
      </c>
      <c r="AI439" s="20">
        <v>148</v>
      </c>
      <c r="AJ439" s="20" t="s">
        <v>5403</v>
      </c>
      <c r="AK439" s="115">
        <v>35000000</v>
      </c>
      <c r="AL439" s="20">
        <v>15</v>
      </c>
      <c r="AM439" s="20">
        <f t="shared" si="84"/>
        <v>337</v>
      </c>
      <c r="AN439" s="20">
        <f t="shared" si="85"/>
        <v>11795000000</v>
      </c>
      <c r="AO439" s="20"/>
      <c r="AT439" t="s">
        <v>25</v>
      </c>
    </row>
    <row r="440" spans="18:46">
      <c r="R440" s="97" t="s">
        <v>5542</v>
      </c>
      <c r="S440" s="93">
        <v>4635809.8416840006</v>
      </c>
      <c r="U440" s="19" t="s">
        <v>5714</v>
      </c>
      <c r="V440" s="19">
        <v>3742</v>
      </c>
      <c r="W440" s="115">
        <v>2207.7650429999999</v>
      </c>
      <c r="X440" s="115">
        <f t="shared" si="77"/>
        <v>8261456.790906</v>
      </c>
      <c r="Y440" s="259" t="s">
        <v>5097</v>
      </c>
      <c r="Z440" t="s">
        <v>25</v>
      </c>
      <c r="AI440" s="147">
        <v>149</v>
      </c>
      <c r="AJ440" s="147" t="s">
        <v>5422</v>
      </c>
      <c r="AK440" s="186">
        <v>1400000</v>
      </c>
      <c r="AL440" s="147">
        <v>0</v>
      </c>
      <c r="AM440" s="147">
        <f t="shared" si="84"/>
        <v>322</v>
      </c>
      <c r="AN440" s="147">
        <f t="shared" si="85"/>
        <v>450800000</v>
      </c>
      <c r="AO440" s="147"/>
    </row>
    <row r="441" spans="18:46">
      <c r="R441" s="97" t="s">
        <v>5570</v>
      </c>
      <c r="S441" s="93">
        <v>288892.40000000002</v>
      </c>
      <c r="U441" s="19" t="s">
        <v>5715</v>
      </c>
      <c r="V441" s="19">
        <v>3216</v>
      </c>
      <c r="W441" s="115">
        <v>2043.648557</v>
      </c>
      <c r="X441" s="115">
        <f t="shared" si="77"/>
        <v>6572373.7593120001</v>
      </c>
      <c r="Y441" s="259" t="s">
        <v>5097</v>
      </c>
      <c r="AI441" s="20">
        <v>150</v>
      </c>
      <c r="AJ441" s="20" t="s">
        <v>5422</v>
      </c>
      <c r="AK441" s="115">
        <v>1600000</v>
      </c>
      <c r="AL441" s="20">
        <v>1</v>
      </c>
      <c r="AM441" s="20">
        <f t="shared" si="84"/>
        <v>322</v>
      </c>
      <c r="AN441" s="20">
        <f t="shared" si="85"/>
        <v>515200000</v>
      </c>
      <c r="AO441" s="20"/>
    </row>
    <row r="442" spans="18:46">
      <c r="R442" s="97" t="s">
        <v>5571</v>
      </c>
      <c r="S442" s="93">
        <v>58508002.009000003</v>
      </c>
      <c r="T442" t="s">
        <v>25</v>
      </c>
      <c r="U442" s="187" t="s">
        <v>5717</v>
      </c>
      <c r="V442" s="187">
        <v>42393</v>
      </c>
      <c r="W442" s="186">
        <v>2124.4852740000001</v>
      </c>
      <c r="X442" s="186">
        <f t="shared" si="77"/>
        <v>90063304.22068201</v>
      </c>
      <c r="Y442" s="258" t="s">
        <v>5718</v>
      </c>
      <c r="Z442" t="s">
        <v>25</v>
      </c>
      <c r="AI442" s="147">
        <v>151</v>
      </c>
      <c r="AJ442" s="147" t="s">
        <v>5425</v>
      </c>
      <c r="AK442" s="186">
        <v>600000</v>
      </c>
      <c r="AL442" s="147">
        <v>0</v>
      </c>
      <c r="AM442" s="147">
        <f t="shared" si="84"/>
        <v>321</v>
      </c>
      <c r="AN442" s="147">
        <f t="shared" si="85"/>
        <v>192600000</v>
      </c>
      <c r="AO442" s="147" t="s">
        <v>5427</v>
      </c>
    </row>
    <row r="443" spans="18:46">
      <c r="R443" s="97" t="s">
        <v>5573</v>
      </c>
      <c r="S443" s="93">
        <v>2245515.5410799999</v>
      </c>
      <c r="U443" s="19" t="s">
        <v>5719</v>
      </c>
      <c r="V443" s="19">
        <v>1307</v>
      </c>
      <c r="W443" s="115">
        <v>2213.652313</v>
      </c>
      <c r="X443" s="115">
        <f t="shared" si="77"/>
        <v>2893243.5730909999</v>
      </c>
      <c r="Y443" s="259" t="s">
        <v>5097</v>
      </c>
      <c r="AI443" s="20">
        <v>152</v>
      </c>
      <c r="AJ443" s="20" t="s">
        <v>5425</v>
      </c>
      <c r="AK443" s="115">
        <v>600000</v>
      </c>
      <c r="AL443" s="20">
        <v>9</v>
      </c>
      <c r="AM443" s="20">
        <f t="shared" si="84"/>
        <v>321</v>
      </c>
      <c r="AN443" s="20">
        <f t="shared" si="85"/>
        <v>192600000</v>
      </c>
      <c r="AO443" s="20" t="s">
        <v>5427</v>
      </c>
    </row>
    <row r="444" spans="18:46">
      <c r="R444" s="97" t="s">
        <v>5573</v>
      </c>
      <c r="S444" s="93">
        <v>18404699.3442</v>
      </c>
      <c r="U444" s="19" t="s">
        <v>5720</v>
      </c>
      <c r="V444" s="19">
        <v>44079</v>
      </c>
      <c r="W444" s="115">
        <v>2155.0411519999998</v>
      </c>
      <c r="X444" s="115">
        <f t="shared" si="77"/>
        <v>94992058.939007998</v>
      </c>
      <c r="Y444" s="259" t="s">
        <v>5097</v>
      </c>
      <c r="Z444" t="s">
        <v>25</v>
      </c>
      <c r="AA444" t="s">
        <v>25</v>
      </c>
      <c r="AI444" s="20">
        <v>153</v>
      </c>
      <c r="AJ444" s="20" t="s">
        <v>5440</v>
      </c>
      <c r="AK444" s="115">
        <v>20000000</v>
      </c>
      <c r="AL444" s="20">
        <v>23</v>
      </c>
      <c r="AM444" s="20">
        <f t="shared" si="84"/>
        <v>312</v>
      </c>
      <c r="AN444" s="20">
        <f t="shared" si="85"/>
        <v>6240000000</v>
      </c>
      <c r="AO444" s="20" t="s">
        <v>5455</v>
      </c>
      <c r="AS444" t="s">
        <v>25</v>
      </c>
    </row>
    <row r="445" spans="18:46">
      <c r="R445" s="97" t="s">
        <v>5576</v>
      </c>
      <c r="S445" s="93">
        <v>48684800</v>
      </c>
      <c r="U445" s="19" t="s">
        <v>5725</v>
      </c>
      <c r="V445" s="19">
        <v>131</v>
      </c>
      <c r="W445" s="115">
        <v>2099.4040150000001</v>
      </c>
      <c r="X445" s="115">
        <f t="shared" si="77"/>
        <v>275021.925965</v>
      </c>
      <c r="Y445" s="259" t="s">
        <v>5097</v>
      </c>
      <c r="Z445" t="s">
        <v>25</v>
      </c>
      <c r="AI445" s="20">
        <v>154</v>
      </c>
      <c r="AJ445" s="20" t="s">
        <v>5475</v>
      </c>
      <c r="AK445" s="115">
        <v>-46183500</v>
      </c>
      <c r="AL445" s="20">
        <v>0</v>
      </c>
      <c r="AM445" s="20">
        <f t="shared" si="84"/>
        <v>289</v>
      </c>
      <c r="AN445" s="20">
        <f t="shared" si="85"/>
        <v>-13347031500</v>
      </c>
      <c r="AO445" s="20" t="s">
        <v>4848</v>
      </c>
    </row>
    <row r="446" spans="18:46">
      <c r="R446" s="97" t="s">
        <v>5578</v>
      </c>
      <c r="S446" s="93">
        <v>2264658.5922190002</v>
      </c>
      <c r="U446" s="19" t="s">
        <v>5730</v>
      </c>
      <c r="V446" s="19">
        <v>162</v>
      </c>
      <c r="W446" s="115">
        <v>2021.3081500000001</v>
      </c>
      <c r="X446" s="115">
        <f t="shared" si="77"/>
        <v>327451.9203</v>
      </c>
      <c r="Y446" s="259" t="s">
        <v>5097</v>
      </c>
      <c r="AA446" t="s">
        <v>25</v>
      </c>
      <c r="AI446" s="147">
        <v>155</v>
      </c>
      <c r="AJ446" s="147" t="s">
        <v>5475</v>
      </c>
      <c r="AK446" s="186">
        <v>-1812800</v>
      </c>
      <c r="AL446" s="147">
        <v>2</v>
      </c>
      <c r="AM446" s="147">
        <f t="shared" si="84"/>
        <v>289</v>
      </c>
      <c r="AN446" s="147">
        <f t="shared" si="85"/>
        <v>-523899200</v>
      </c>
      <c r="AO446" s="147" t="s">
        <v>4848</v>
      </c>
      <c r="AR446" t="s">
        <v>25</v>
      </c>
    </row>
    <row r="447" spans="18:46">
      <c r="R447" s="97" t="s">
        <v>5581</v>
      </c>
      <c r="S447" s="93">
        <v>22877413.789960001</v>
      </c>
      <c r="U447" s="19" t="s">
        <v>5740</v>
      </c>
      <c r="V447" s="19">
        <v>131</v>
      </c>
      <c r="W447" s="115">
        <v>1985.358328</v>
      </c>
      <c r="X447" s="115">
        <f t="shared" si="77"/>
        <v>260081.94096800001</v>
      </c>
      <c r="Y447" s="259" t="s">
        <v>5097</v>
      </c>
      <c r="AA447" t="s">
        <v>25</v>
      </c>
      <c r="AI447" s="20">
        <v>156</v>
      </c>
      <c r="AJ447" s="20" t="s">
        <v>5479</v>
      </c>
      <c r="AK447" s="115">
        <v>90000</v>
      </c>
      <c r="AL447" s="20">
        <v>0</v>
      </c>
      <c r="AM447" s="20">
        <f t="shared" ref="AM447:AM461" si="86">AL447+AM448</f>
        <v>287</v>
      </c>
      <c r="AN447" s="20">
        <f t="shared" ref="AN447:AN461" si="87">AK447*AM447</f>
        <v>25830000</v>
      </c>
      <c r="AO447" s="20"/>
    </row>
    <row r="448" spans="18:46">
      <c r="R448" s="97" t="s">
        <v>5582</v>
      </c>
      <c r="S448" s="93">
        <v>2362539.4373280001</v>
      </c>
      <c r="U448" s="19" t="s">
        <v>5748</v>
      </c>
      <c r="V448" s="19">
        <v>1449</v>
      </c>
      <c r="W448" s="115">
        <v>2007.787806</v>
      </c>
      <c r="X448" s="115">
        <f t="shared" si="77"/>
        <v>2909284.5308940001</v>
      </c>
      <c r="Y448" s="259" t="s">
        <v>5097</v>
      </c>
      <c r="AA448" t="s">
        <v>25</v>
      </c>
      <c r="AI448" s="147">
        <v>157</v>
      </c>
      <c r="AJ448" s="147" t="s">
        <v>5479</v>
      </c>
      <c r="AK448" s="186">
        <v>60000</v>
      </c>
      <c r="AL448" s="147">
        <v>5</v>
      </c>
      <c r="AM448" s="147">
        <f t="shared" si="86"/>
        <v>287</v>
      </c>
      <c r="AN448" s="147">
        <f t="shared" si="87"/>
        <v>17220000</v>
      </c>
      <c r="AO448" s="147"/>
    </row>
    <row r="449" spans="18:45">
      <c r="R449" s="97" t="s">
        <v>5583</v>
      </c>
      <c r="S449" s="93">
        <v>16042676.656608</v>
      </c>
      <c r="U449" s="19" t="s">
        <v>5749</v>
      </c>
      <c r="V449" s="19">
        <v>19028</v>
      </c>
      <c r="W449" s="115">
        <v>1982.5102529999999</v>
      </c>
      <c r="X449" s="115">
        <f t="shared" si="77"/>
        <v>37723205.094084002</v>
      </c>
      <c r="Y449" s="259" t="s">
        <v>5097</v>
      </c>
      <c r="Z449" t="s">
        <v>25</v>
      </c>
      <c r="AA449" t="s">
        <v>25</v>
      </c>
      <c r="AI449" s="20">
        <v>158</v>
      </c>
      <c r="AJ449" s="20" t="s">
        <v>5484</v>
      </c>
      <c r="AK449" s="115">
        <v>50000000</v>
      </c>
      <c r="AL449" s="20">
        <v>29</v>
      </c>
      <c r="AM449" s="20">
        <f t="shared" si="86"/>
        <v>282</v>
      </c>
      <c r="AN449" s="20">
        <f t="shared" si="87"/>
        <v>14100000000</v>
      </c>
      <c r="AO449" s="20" t="s">
        <v>5486</v>
      </c>
      <c r="AS449" t="s">
        <v>25</v>
      </c>
    </row>
    <row r="450" spans="18:45">
      <c r="R450" s="97" t="s">
        <v>5586</v>
      </c>
      <c r="S450" s="93">
        <v>18403291.448284</v>
      </c>
      <c r="U450" s="19" t="s">
        <v>5750</v>
      </c>
      <c r="V450" s="19">
        <v>848</v>
      </c>
      <c r="W450" s="115">
        <v>1768.97966</v>
      </c>
      <c r="X450" s="115">
        <f t="shared" si="77"/>
        <v>1500094.75168</v>
      </c>
      <c r="Y450" s="259" t="s">
        <v>5097</v>
      </c>
      <c r="AI450" s="20">
        <v>159</v>
      </c>
      <c r="AJ450" s="20" t="s">
        <v>5542</v>
      </c>
      <c r="AK450" s="115">
        <v>100000</v>
      </c>
      <c r="AL450" s="20">
        <v>1</v>
      </c>
      <c r="AM450" s="20">
        <f t="shared" si="86"/>
        <v>253</v>
      </c>
      <c r="AN450" s="20">
        <f t="shared" si="87"/>
        <v>25300000</v>
      </c>
      <c r="AO450" s="20"/>
    </row>
    <row r="451" spans="18:45">
      <c r="R451" s="97" t="s">
        <v>5587</v>
      </c>
      <c r="S451" s="93">
        <v>10561447.246918</v>
      </c>
      <c r="U451" s="19" t="s">
        <v>5751</v>
      </c>
      <c r="V451" s="19">
        <v>3824</v>
      </c>
      <c r="W451" s="115">
        <v>1890.8547169999999</v>
      </c>
      <c r="X451" s="115">
        <f t="shared" si="77"/>
        <v>7230628.4378079996</v>
      </c>
      <c r="Y451" s="259" t="s">
        <v>5097</v>
      </c>
      <c r="AG451" s="94" t="s">
        <v>25</v>
      </c>
      <c r="AI451" s="147">
        <v>160</v>
      </c>
      <c r="AJ451" s="147" t="s">
        <v>5531</v>
      </c>
      <c r="AK451" s="186">
        <v>150000</v>
      </c>
      <c r="AL451" s="147">
        <v>0</v>
      </c>
      <c r="AM451" s="147">
        <f t="shared" si="86"/>
        <v>252</v>
      </c>
      <c r="AN451" s="147">
        <f t="shared" si="87"/>
        <v>37800000</v>
      </c>
      <c r="AO451" s="147"/>
    </row>
    <row r="452" spans="18:45">
      <c r="R452" s="97" t="s">
        <v>5588</v>
      </c>
      <c r="S452" s="93">
        <v>1226811.9176660001</v>
      </c>
      <c r="U452" s="19" t="s">
        <v>5753</v>
      </c>
      <c r="V452" s="19">
        <v>14010</v>
      </c>
      <c r="W452" s="115">
        <v>2124.7244390000001</v>
      </c>
      <c r="X452" s="115">
        <f t="shared" si="77"/>
        <v>29767389.390390001</v>
      </c>
      <c r="Y452" s="259" t="s">
        <v>5097</v>
      </c>
      <c r="AI452" s="20">
        <v>161</v>
      </c>
      <c r="AJ452" s="20" t="s">
        <v>5531</v>
      </c>
      <c r="AK452" s="115">
        <v>-683050</v>
      </c>
      <c r="AL452" s="20">
        <v>7</v>
      </c>
      <c r="AM452" s="20">
        <f t="shared" si="86"/>
        <v>252</v>
      </c>
      <c r="AN452" s="20">
        <f t="shared" si="87"/>
        <v>-172128600</v>
      </c>
      <c r="AO452" s="20" t="s">
        <v>5545</v>
      </c>
    </row>
    <row r="453" spans="18:45">
      <c r="R453" s="97" t="s">
        <v>5593</v>
      </c>
      <c r="S453" s="93">
        <v>39373959.190266006</v>
      </c>
      <c r="U453" s="19" t="s">
        <v>5754</v>
      </c>
      <c r="V453" s="19">
        <v>73</v>
      </c>
      <c r="W453" s="115">
        <v>2076.1678900000002</v>
      </c>
      <c r="X453" s="115">
        <f t="shared" si="77"/>
        <v>151560.25597</v>
      </c>
      <c r="Y453" s="259" t="s">
        <v>5097</v>
      </c>
      <c r="AB453" t="s">
        <v>25</v>
      </c>
      <c r="AI453" s="147">
        <v>162</v>
      </c>
      <c r="AJ453" s="147" t="s">
        <v>5553</v>
      </c>
      <c r="AK453" s="186">
        <v>200000</v>
      </c>
      <c r="AL453" s="147">
        <v>7</v>
      </c>
      <c r="AM453" s="147">
        <f t="shared" si="86"/>
        <v>245</v>
      </c>
      <c r="AN453" s="147">
        <f t="shared" si="87"/>
        <v>49000000</v>
      </c>
      <c r="AO453" s="147"/>
    </row>
    <row r="454" spans="18:45">
      <c r="R454" s="97" t="s">
        <v>5594</v>
      </c>
      <c r="S454" s="93">
        <v>27703487.063980002</v>
      </c>
      <c r="U454" s="19" t="s">
        <v>5756</v>
      </c>
      <c r="V454" s="19">
        <v>236</v>
      </c>
      <c r="W454" s="115">
        <v>2039.4867830000001</v>
      </c>
      <c r="X454" s="115">
        <f t="shared" si="77"/>
        <v>481318.88078800001</v>
      </c>
      <c r="Y454" s="259" t="s">
        <v>5097</v>
      </c>
      <c r="AI454" s="147">
        <v>163</v>
      </c>
      <c r="AJ454" s="147" t="s">
        <v>5558</v>
      </c>
      <c r="AK454" s="186">
        <v>150000</v>
      </c>
      <c r="AL454" s="147">
        <v>5</v>
      </c>
      <c r="AM454" s="147">
        <f t="shared" si="86"/>
        <v>238</v>
      </c>
      <c r="AN454" s="147">
        <f t="shared" si="87"/>
        <v>35700000</v>
      </c>
      <c r="AO454" s="147"/>
    </row>
    <row r="455" spans="18:45">
      <c r="R455" s="97" t="s">
        <v>4182</v>
      </c>
      <c r="S455" s="93">
        <v>8738896.6890719999</v>
      </c>
      <c r="U455" s="19" t="s">
        <v>5759</v>
      </c>
      <c r="V455" s="19">
        <v>75</v>
      </c>
      <c r="W455" s="115">
        <v>1950.3675760000001</v>
      </c>
      <c r="X455" s="115">
        <f t="shared" si="77"/>
        <v>146277.56820000001</v>
      </c>
      <c r="Y455" s="259" t="s">
        <v>5097</v>
      </c>
      <c r="AI455" s="20">
        <v>164</v>
      </c>
      <c r="AJ455" s="20" t="s">
        <v>5561</v>
      </c>
      <c r="AK455" s="115">
        <v>320000</v>
      </c>
      <c r="AL455" s="20">
        <v>2</v>
      </c>
      <c r="AM455" s="20">
        <f t="shared" si="86"/>
        <v>233</v>
      </c>
      <c r="AN455" s="20">
        <f t="shared" si="87"/>
        <v>74560000</v>
      </c>
      <c r="AO455" s="20"/>
    </row>
    <row r="456" spans="18:45">
      <c r="R456" s="97" t="s">
        <v>5596</v>
      </c>
      <c r="S456" s="93">
        <v>348201.66738</v>
      </c>
      <c r="U456" s="19" t="s">
        <v>5771</v>
      </c>
      <c r="V456" s="19">
        <v>232</v>
      </c>
      <c r="W456" s="115">
        <v>1830.5750069999999</v>
      </c>
      <c r="X456" s="115">
        <f t="shared" si="77"/>
        <v>424693.40162399999</v>
      </c>
      <c r="Y456" s="259" t="s">
        <v>5097</v>
      </c>
      <c r="Z456" t="s">
        <v>25</v>
      </c>
      <c r="AI456" s="20">
        <v>165</v>
      </c>
      <c r="AJ456" s="20" t="s">
        <v>5562</v>
      </c>
      <c r="AK456" s="115">
        <v>200000</v>
      </c>
      <c r="AL456" s="20">
        <v>29</v>
      </c>
      <c r="AM456" s="20">
        <f t="shared" si="86"/>
        <v>231</v>
      </c>
      <c r="AN456" s="20">
        <f t="shared" si="87"/>
        <v>46200000</v>
      </c>
      <c r="AO456" s="20"/>
    </row>
    <row r="457" spans="18:45">
      <c r="R457" s="97" t="s">
        <v>5600</v>
      </c>
      <c r="S457" s="93">
        <v>4158090.8935679998</v>
      </c>
      <c r="U457" s="19" t="s">
        <v>5774</v>
      </c>
      <c r="V457" s="19">
        <v>308</v>
      </c>
      <c r="W457" s="115">
        <v>1812.728578</v>
      </c>
      <c r="X457" s="115">
        <f t="shared" si="77"/>
        <v>558320.40202399995</v>
      </c>
      <c r="Y457" s="259" t="s">
        <v>5097</v>
      </c>
      <c r="Z457" t="s">
        <v>25</v>
      </c>
      <c r="AI457" s="20">
        <v>166</v>
      </c>
      <c r="AJ457" s="20" t="s">
        <v>5597</v>
      </c>
      <c r="AK457" s="115">
        <v>4200000</v>
      </c>
      <c r="AL457" s="20">
        <v>0</v>
      </c>
      <c r="AM457" s="20">
        <f t="shared" si="86"/>
        <v>202</v>
      </c>
      <c r="AN457" s="20">
        <f t="shared" si="87"/>
        <v>848400000</v>
      </c>
      <c r="AO457" s="20"/>
    </row>
    <row r="458" spans="18:45">
      <c r="R458" s="97" t="s">
        <v>5597</v>
      </c>
      <c r="S458" s="93">
        <v>110770524.97879399</v>
      </c>
      <c r="U458" s="19" t="s">
        <v>5776</v>
      </c>
      <c r="V458" s="19">
        <v>106</v>
      </c>
      <c r="W458" s="115">
        <v>1958.8888869</v>
      </c>
      <c r="X458" s="115">
        <f t="shared" si="77"/>
        <v>207642.22201140001</v>
      </c>
      <c r="Y458" s="259" t="s">
        <v>5097</v>
      </c>
      <c r="AI458" s="147">
        <v>167</v>
      </c>
      <c r="AJ458" s="147" t="s">
        <v>5597</v>
      </c>
      <c r="AK458" s="186">
        <v>3300000</v>
      </c>
      <c r="AL458" s="147">
        <v>11</v>
      </c>
      <c r="AM458" s="147">
        <f t="shared" si="86"/>
        <v>202</v>
      </c>
      <c r="AN458" s="147">
        <f t="shared" si="87"/>
        <v>666600000</v>
      </c>
      <c r="AO458" s="147"/>
    </row>
    <row r="459" spans="18:45">
      <c r="R459" s="97" t="s">
        <v>5600</v>
      </c>
      <c r="S459" s="93">
        <v>17900000</v>
      </c>
      <c r="U459" s="19" t="s">
        <v>5798</v>
      </c>
      <c r="V459" s="19">
        <v>17050</v>
      </c>
      <c r="W459" s="115">
        <v>1984.311475</v>
      </c>
      <c r="X459" s="115">
        <f t="shared" si="77"/>
        <v>33832510.64875</v>
      </c>
      <c r="Y459" s="259" t="s">
        <v>5800</v>
      </c>
      <c r="Z459" t="s">
        <v>25</v>
      </c>
      <c r="AB459" t="s">
        <v>25</v>
      </c>
      <c r="AI459" s="147">
        <v>168</v>
      </c>
      <c r="AJ459" s="147" t="s">
        <v>5621</v>
      </c>
      <c r="AK459" s="186">
        <v>-1500000</v>
      </c>
      <c r="AL459" s="147">
        <v>42</v>
      </c>
      <c r="AM459" s="147">
        <f t="shared" si="86"/>
        <v>191</v>
      </c>
      <c r="AN459" s="147">
        <f t="shared" si="87"/>
        <v>-286500000</v>
      </c>
      <c r="AO459" s="147"/>
    </row>
    <row r="460" spans="18:45">
      <c r="R460" s="97" t="s">
        <v>5612</v>
      </c>
      <c r="S460" s="93">
        <v>12114824.927374</v>
      </c>
      <c r="U460" s="19" t="s">
        <v>5798</v>
      </c>
      <c r="V460" s="19">
        <v>17050</v>
      </c>
      <c r="W460" s="115">
        <v>1984.311475</v>
      </c>
      <c r="X460" s="115">
        <f t="shared" si="77"/>
        <v>33832510.64875</v>
      </c>
      <c r="Y460" s="259" t="s">
        <v>5801</v>
      </c>
      <c r="Z460" t="s">
        <v>25</v>
      </c>
      <c r="AI460" s="20">
        <v>169</v>
      </c>
      <c r="AJ460" s="20" t="s">
        <v>5667</v>
      </c>
      <c r="AK460" s="115">
        <v>260000</v>
      </c>
      <c r="AL460" s="20">
        <v>22</v>
      </c>
      <c r="AM460" s="20">
        <f t="shared" si="86"/>
        <v>149</v>
      </c>
      <c r="AN460" s="20">
        <f t="shared" si="87"/>
        <v>38740000</v>
      </c>
      <c r="AO460" s="20"/>
    </row>
    <row r="461" spans="18:45">
      <c r="R461" s="97" t="s">
        <v>5615</v>
      </c>
      <c r="S461" s="93">
        <v>6684147.0064600008</v>
      </c>
      <c r="U461" s="19" t="s">
        <v>5803</v>
      </c>
      <c r="V461" s="19">
        <v>9659</v>
      </c>
      <c r="W461" s="115">
        <v>2073.8685089999999</v>
      </c>
      <c r="X461" s="115">
        <f t="shared" si="77"/>
        <v>20031495.928431001</v>
      </c>
      <c r="Y461" s="259" t="s">
        <v>5804</v>
      </c>
      <c r="Z461" t="s">
        <v>25</v>
      </c>
      <c r="AI461" s="20">
        <v>170</v>
      </c>
      <c r="AJ461" s="20" t="s">
        <v>5695</v>
      </c>
      <c r="AK461" s="115">
        <v>20000</v>
      </c>
      <c r="AL461" s="20">
        <v>0</v>
      </c>
      <c r="AM461" s="20">
        <f t="shared" si="86"/>
        <v>127</v>
      </c>
      <c r="AN461" s="20">
        <f t="shared" si="87"/>
        <v>2540000</v>
      </c>
      <c r="AO461" s="20"/>
    </row>
    <row r="462" spans="18:45">
      <c r="R462" s="97" t="s">
        <v>5619</v>
      </c>
      <c r="S462" s="93">
        <v>1826535.2307560001</v>
      </c>
      <c r="U462" s="19" t="s">
        <v>5807</v>
      </c>
      <c r="V462" s="19">
        <v>323</v>
      </c>
      <c r="W462" s="115">
        <v>1975.162028</v>
      </c>
      <c r="X462" s="115">
        <f t="shared" si="77"/>
        <v>637977.33504399995</v>
      </c>
      <c r="Y462" s="259" t="s">
        <v>5097</v>
      </c>
      <c r="AI462" s="191">
        <v>171</v>
      </c>
      <c r="AJ462" s="191" t="s">
        <v>5695</v>
      </c>
      <c r="AK462" s="192">
        <v>20000</v>
      </c>
      <c r="AL462" s="191">
        <v>7</v>
      </c>
      <c r="AM462" s="147">
        <f t="shared" ref="AM462:AM470" si="88">AL462+AM463</f>
        <v>127</v>
      </c>
      <c r="AN462" s="147">
        <f>AK462*AM462</f>
        <v>2540000</v>
      </c>
      <c r="AO462" s="191"/>
    </row>
    <row r="463" spans="18:45">
      <c r="R463" s="97" t="s">
        <v>5621</v>
      </c>
      <c r="S463" s="93">
        <v>3577366.94</v>
      </c>
      <c r="U463" s="19" t="s">
        <v>5808</v>
      </c>
      <c r="V463" s="19">
        <v>238</v>
      </c>
      <c r="W463" s="115">
        <v>1960.303598</v>
      </c>
      <c r="X463" s="115">
        <f t="shared" si="77"/>
        <v>466552.25632400002</v>
      </c>
      <c r="Y463" s="259" t="s">
        <v>5097</v>
      </c>
      <c r="AA463" t="s">
        <v>25</v>
      </c>
      <c r="AI463" s="147">
        <v>172</v>
      </c>
      <c r="AJ463" s="147" t="s">
        <v>5703</v>
      </c>
      <c r="AK463" s="186">
        <v>70000</v>
      </c>
      <c r="AL463" s="147">
        <v>0</v>
      </c>
      <c r="AM463" s="147">
        <f t="shared" si="88"/>
        <v>120</v>
      </c>
      <c r="AN463" s="147">
        <f>AK463*AM463</f>
        <v>8400000</v>
      </c>
      <c r="AO463" s="147"/>
    </row>
    <row r="464" spans="18:45">
      <c r="R464" s="97" t="s">
        <v>5624</v>
      </c>
      <c r="S464" s="93">
        <v>21239029.173567999</v>
      </c>
      <c r="U464" s="19" t="s">
        <v>5809</v>
      </c>
      <c r="V464" s="19">
        <v>75</v>
      </c>
      <c r="W464" s="115">
        <v>1990.893174</v>
      </c>
      <c r="X464" s="115">
        <f t="shared" si="77"/>
        <v>149316.98805000001</v>
      </c>
      <c r="Y464" s="259" t="s">
        <v>5810</v>
      </c>
      <c r="AA464" t="s">
        <v>25</v>
      </c>
      <c r="AI464" s="20">
        <v>173</v>
      </c>
      <c r="AJ464" s="20" t="s">
        <v>5703</v>
      </c>
      <c r="AK464" s="115">
        <v>70000</v>
      </c>
      <c r="AL464" s="20">
        <v>1</v>
      </c>
      <c r="AM464" s="20">
        <f t="shared" si="88"/>
        <v>120</v>
      </c>
      <c r="AN464" s="20">
        <f>AK464*AM464</f>
        <v>8400000</v>
      </c>
      <c r="AO464" s="20"/>
      <c r="AS464" t="s">
        <v>25</v>
      </c>
    </row>
    <row r="465" spans="18:46">
      <c r="R465" s="97" t="s">
        <v>5629</v>
      </c>
      <c r="S465" s="93">
        <v>242957252.40163299</v>
      </c>
      <c r="U465" s="19" t="s">
        <v>5809</v>
      </c>
      <c r="V465" s="19">
        <v>95</v>
      </c>
      <c r="W465" s="115">
        <v>1990.893174</v>
      </c>
      <c r="X465" s="115">
        <f t="shared" si="77"/>
        <v>189134.85153000001</v>
      </c>
      <c r="Y465" s="259" t="s">
        <v>5097</v>
      </c>
      <c r="AA465" t="s">
        <v>25</v>
      </c>
      <c r="AI465" s="20">
        <v>174</v>
      </c>
      <c r="AJ465" s="20" t="s">
        <v>5709</v>
      </c>
      <c r="AK465" s="115">
        <v>330000</v>
      </c>
      <c r="AL465" s="20">
        <v>0</v>
      </c>
      <c r="AM465" s="20">
        <f t="shared" si="88"/>
        <v>119</v>
      </c>
      <c r="AN465" s="20">
        <f>AK465*AM465</f>
        <v>39270000</v>
      </c>
      <c r="AO465" s="20"/>
      <c r="AS465" t="s">
        <v>25</v>
      </c>
    </row>
    <row r="466" spans="18:46">
      <c r="R466" s="97" t="s">
        <v>5630</v>
      </c>
      <c r="S466" s="93">
        <v>7357181.2750800001</v>
      </c>
      <c r="U466" s="19" t="s">
        <v>5811</v>
      </c>
      <c r="V466" s="19">
        <v>284</v>
      </c>
      <c r="W466" s="115">
        <v>1989.045169</v>
      </c>
      <c r="X466" s="115">
        <f t="shared" si="77"/>
        <v>564888.82799599995</v>
      </c>
      <c r="Y466" s="259" t="s">
        <v>5097</v>
      </c>
      <c r="AA466" t="s">
        <v>25</v>
      </c>
      <c r="AI466" s="147">
        <v>175</v>
      </c>
      <c r="AJ466" s="147" t="s">
        <v>5709</v>
      </c>
      <c r="AK466" s="186">
        <v>330000</v>
      </c>
      <c r="AL466" s="147">
        <v>10</v>
      </c>
      <c r="AM466" s="147">
        <f t="shared" si="88"/>
        <v>119</v>
      </c>
      <c r="AN466" s="147">
        <f t="shared" ref="AN466:AN471" si="89">AK466*AM466</f>
        <v>39270000</v>
      </c>
      <c r="AO466" s="147"/>
    </row>
    <row r="467" spans="18:46" ht="30">
      <c r="R467" s="97" t="s">
        <v>5634</v>
      </c>
      <c r="S467" s="93">
        <v>14951411.942400001</v>
      </c>
      <c r="U467" s="187" t="s">
        <v>5814</v>
      </c>
      <c r="V467" s="187">
        <v>11034</v>
      </c>
      <c r="W467" s="186">
        <v>1960.6845390000001</v>
      </c>
      <c r="X467" s="186">
        <f t="shared" si="77"/>
        <v>21634193.203326002</v>
      </c>
      <c r="Y467" s="258" t="s">
        <v>5818</v>
      </c>
      <c r="AA467" t="s">
        <v>25</v>
      </c>
      <c r="AI467" s="147">
        <v>176</v>
      </c>
      <c r="AJ467" s="147" t="s">
        <v>5717</v>
      </c>
      <c r="AK467" s="186">
        <v>90000000</v>
      </c>
      <c r="AL467" s="147">
        <v>16</v>
      </c>
      <c r="AM467" s="147">
        <f t="shared" si="88"/>
        <v>109</v>
      </c>
      <c r="AN467" s="147">
        <f t="shared" si="89"/>
        <v>9810000000</v>
      </c>
      <c r="AO467" s="147"/>
      <c r="AT467" t="s">
        <v>25</v>
      </c>
    </row>
    <row r="468" spans="18:46" ht="30">
      <c r="R468" s="97" t="s">
        <v>5636</v>
      </c>
      <c r="S468" s="93">
        <v>47928209.377011999</v>
      </c>
      <c r="U468" s="19" t="s">
        <v>5814</v>
      </c>
      <c r="V468" s="19">
        <v>4469</v>
      </c>
      <c r="W468" s="115">
        <v>1960.6845390000001</v>
      </c>
      <c r="X468" s="115">
        <f t="shared" si="77"/>
        <v>8762299.2047910001</v>
      </c>
      <c r="Y468" s="259" t="s">
        <v>5819</v>
      </c>
      <c r="AA468" t="s">
        <v>25</v>
      </c>
      <c r="AI468" s="147">
        <v>177</v>
      </c>
      <c r="AJ468" s="147" t="s">
        <v>5738</v>
      </c>
      <c r="AK468" s="186">
        <v>-15000000</v>
      </c>
      <c r="AL468" s="147">
        <v>65</v>
      </c>
      <c r="AM468" s="147">
        <f t="shared" si="88"/>
        <v>93</v>
      </c>
      <c r="AN468" s="147">
        <f t="shared" si="89"/>
        <v>-1395000000</v>
      </c>
      <c r="AO468" s="147" t="s">
        <v>5739</v>
      </c>
    </row>
    <row r="469" spans="18:46">
      <c r="R469" s="97" t="s">
        <v>5638</v>
      </c>
      <c r="S469" s="93">
        <v>2281595.69937</v>
      </c>
      <c r="U469" s="19" t="s">
        <v>5814</v>
      </c>
      <c r="V469" s="19">
        <v>-174834</v>
      </c>
      <c r="W469" s="115">
        <v>1955.271154</v>
      </c>
      <c r="X469" s="115">
        <f t="shared" si="77"/>
        <v>-341847876.93843603</v>
      </c>
      <c r="Y469" s="259" t="s">
        <v>5820</v>
      </c>
      <c r="AI469" s="147">
        <v>178</v>
      </c>
      <c r="AJ469" s="147" t="s">
        <v>5798</v>
      </c>
      <c r="AK469" s="186">
        <v>33833075</v>
      </c>
      <c r="AL469" s="147">
        <v>0</v>
      </c>
      <c r="AM469" s="147">
        <f t="shared" si="88"/>
        <v>28</v>
      </c>
      <c r="AN469" s="147">
        <f t="shared" si="89"/>
        <v>947326100</v>
      </c>
      <c r="AO469" s="147" t="s">
        <v>5802</v>
      </c>
    </row>
    <row r="470" spans="18:46">
      <c r="R470" s="97" t="s">
        <v>5639</v>
      </c>
      <c r="S470" s="93">
        <v>2964916.035069</v>
      </c>
      <c r="U470" s="19" t="s">
        <v>5814</v>
      </c>
      <c r="V470" s="19">
        <v>-78942</v>
      </c>
      <c r="W470" s="115">
        <v>1955.271154</v>
      </c>
      <c r="X470" s="115">
        <f t="shared" si="77"/>
        <v>-154353015.43906799</v>
      </c>
      <c r="Y470" s="259" t="s">
        <v>5821</v>
      </c>
      <c r="AA470" t="s">
        <v>25</v>
      </c>
      <c r="AI470" s="20">
        <v>197</v>
      </c>
      <c r="AJ470" s="20" t="s">
        <v>5798</v>
      </c>
      <c r="AK470" s="115">
        <v>20033075</v>
      </c>
      <c r="AL470" s="20">
        <v>28</v>
      </c>
      <c r="AM470" s="20">
        <f t="shared" si="88"/>
        <v>28</v>
      </c>
      <c r="AN470" s="20">
        <f t="shared" si="89"/>
        <v>560926100</v>
      </c>
      <c r="AO470" s="20" t="s">
        <v>5802</v>
      </c>
    </row>
    <row r="471" spans="18:46">
      <c r="R471" s="97" t="s">
        <v>5641</v>
      </c>
      <c r="S471" s="93">
        <v>6460549.4269619994</v>
      </c>
      <c r="U471" s="187" t="s">
        <v>5814</v>
      </c>
      <c r="V471" s="187">
        <v>-11518</v>
      </c>
      <c r="W471" s="186">
        <v>1955.271154</v>
      </c>
      <c r="X471" s="186">
        <f t="shared" si="77"/>
        <v>-22520813.151772</v>
      </c>
      <c r="Y471" s="258" t="s">
        <v>5822</v>
      </c>
      <c r="AB471" t="s">
        <v>25</v>
      </c>
      <c r="AI471" s="147">
        <v>198</v>
      </c>
      <c r="AJ471" s="147" t="s">
        <v>5814</v>
      </c>
      <c r="AK471" s="186">
        <v>-22520813.151772</v>
      </c>
      <c r="AL471" s="147">
        <v>0</v>
      </c>
      <c r="AM471" s="147">
        <f>AL471+AM487</f>
        <v>0</v>
      </c>
      <c r="AN471" s="147">
        <f t="shared" si="89"/>
        <v>0</v>
      </c>
      <c r="AO471" s="147" t="s">
        <v>5822</v>
      </c>
    </row>
    <row r="472" spans="18:46">
      <c r="R472" s="97" t="s">
        <v>5644</v>
      </c>
      <c r="S472" s="93">
        <v>5212319.8968359996</v>
      </c>
      <c r="U472" s="19" t="s">
        <v>5833</v>
      </c>
      <c r="V472" s="19">
        <v>8622</v>
      </c>
      <c r="W472" s="115">
        <v>1930.4022150000001</v>
      </c>
      <c r="X472" s="115">
        <f t="shared" si="77"/>
        <v>16643927.89773</v>
      </c>
      <c r="Y472" s="259" t="s">
        <v>743</v>
      </c>
      <c r="AA472" t="s">
        <v>25</v>
      </c>
      <c r="AI472" s="20">
        <v>199</v>
      </c>
      <c r="AJ472" s="20" t="s">
        <v>5814</v>
      </c>
      <c r="AK472" s="115">
        <v>-204353015</v>
      </c>
      <c r="AL472" s="20">
        <v>0</v>
      </c>
      <c r="AM472" s="20">
        <f t="shared" ref="AM472:AM487" si="90">AL472+AM473</f>
        <v>240</v>
      </c>
      <c r="AN472" s="20">
        <f t="shared" ref="AN472:AN487" si="91">AK472*AM472</f>
        <v>-49044723600</v>
      </c>
      <c r="AO472" s="20" t="s">
        <v>5823</v>
      </c>
    </row>
    <row r="473" spans="18:46">
      <c r="R473" s="97" t="s">
        <v>5646</v>
      </c>
      <c r="S473" s="93">
        <v>4524496.4792809999</v>
      </c>
      <c r="U473" s="19" t="s">
        <v>5834</v>
      </c>
      <c r="V473" s="19">
        <v>17384</v>
      </c>
      <c r="W473" s="115">
        <v>1918.745255</v>
      </c>
      <c r="X473" s="115">
        <f t="shared" si="77"/>
        <v>33355467.51292</v>
      </c>
      <c r="Y473" s="259" t="s">
        <v>743</v>
      </c>
      <c r="Z473" t="s">
        <v>25</v>
      </c>
      <c r="AA473" t="s">
        <v>25</v>
      </c>
      <c r="AI473" s="20">
        <v>200</v>
      </c>
      <c r="AJ473" s="20" t="s">
        <v>5814</v>
      </c>
      <c r="AK473" s="115">
        <v>50000000</v>
      </c>
      <c r="AL473" s="20">
        <v>1</v>
      </c>
      <c r="AM473" s="20">
        <f t="shared" si="90"/>
        <v>240</v>
      </c>
      <c r="AN473" s="20">
        <f t="shared" si="91"/>
        <v>12000000000</v>
      </c>
      <c r="AO473" s="20" t="s">
        <v>5824</v>
      </c>
    </row>
    <row r="474" spans="18:46">
      <c r="R474" s="97" t="s">
        <v>5648</v>
      </c>
      <c r="S474" s="93">
        <v>22866040.240959998</v>
      </c>
      <c r="U474" s="19" t="s">
        <v>5837</v>
      </c>
      <c r="V474" s="19">
        <v>133</v>
      </c>
      <c r="W474" s="115">
        <v>1954.8389770000001</v>
      </c>
      <c r="X474" s="115">
        <f t="shared" si="77"/>
        <v>259993.58394100002</v>
      </c>
      <c r="Y474" s="259" t="s">
        <v>5097</v>
      </c>
      <c r="AB474" t="s">
        <v>25</v>
      </c>
      <c r="AI474" s="20">
        <v>201</v>
      </c>
      <c r="AJ474" s="20" t="s">
        <v>5830</v>
      </c>
      <c r="AK474" s="115">
        <v>50000000</v>
      </c>
      <c r="AL474" s="20">
        <v>8</v>
      </c>
      <c r="AM474" s="20">
        <f t="shared" si="90"/>
        <v>239</v>
      </c>
      <c r="AN474" s="20">
        <f t="shared" si="91"/>
        <v>11950000000</v>
      </c>
      <c r="AO474" s="20" t="s">
        <v>5824</v>
      </c>
    </row>
    <row r="475" spans="18:46">
      <c r="R475" s="97" t="s">
        <v>5650</v>
      </c>
      <c r="S475" s="93">
        <v>15359304.269892</v>
      </c>
      <c r="U475" s="19" t="s">
        <v>5838</v>
      </c>
      <c r="V475" s="19">
        <v>140</v>
      </c>
      <c r="W475" s="115">
        <v>1928.2522289999999</v>
      </c>
      <c r="X475" s="115">
        <f t="shared" si="77"/>
        <v>269955.31205999997</v>
      </c>
      <c r="Y475" s="259" t="s">
        <v>5097</v>
      </c>
      <c r="Z475" t="s">
        <v>25</v>
      </c>
      <c r="AI475" s="20">
        <v>202</v>
      </c>
      <c r="AJ475" s="20" t="s">
        <v>6182</v>
      </c>
      <c r="AK475" s="115">
        <v>30000000</v>
      </c>
      <c r="AL475" s="20">
        <v>2</v>
      </c>
      <c r="AM475" s="20">
        <f t="shared" si="90"/>
        <v>231</v>
      </c>
      <c r="AN475" s="20">
        <f t="shared" si="91"/>
        <v>6930000000</v>
      </c>
      <c r="AO475" s="20" t="s">
        <v>6183</v>
      </c>
    </row>
    <row r="476" spans="18:46">
      <c r="R476" s="97" t="s">
        <v>5651</v>
      </c>
      <c r="S476" s="93">
        <v>2868508.1846330003</v>
      </c>
      <c r="U476" s="19" t="s">
        <v>6184</v>
      </c>
      <c r="V476" s="19">
        <v>15839</v>
      </c>
      <c r="W476" s="115">
        <v>1893.9957079999999</v>
      </c>
      <c r="X476" s="115">
        <f t="shared" si="77"/>
        <v>29998998.019012</v>
      </c>
      <c r="Y476" s="259" t="s">
        <v>6183</v>
      </c>
      <c r="AA476" t="s">
        <v>25</v>
      </c>
      <c r="AB476" t="s">
        <v>25</v>
      </c>
      <c r="AI476" s="147">
        <v>203</v>
      </c>
      <c r="AJ476" s="147" t="s">
        <v>6187</v>
      </c>
      <c r="AK476" s="186">
        <v>20000000</v>
      </c>
      <c r="AL476" s="147">
        <v>29</v>
      </c>
      <c r="AM476" s="147">
        <f t="shared" si="90"/>
        <v>229</v>
      </c>
      <c r="AN476" s="147">
        <f t="shared" si="91"/>
        <v>4580000000</v>
      </c>
      <c r="AO476" s="147" t="s">
        <v>6188</v>
      </c>
    </row>
    <row r="477" spans="18:46">
      <c r="R477" s="97" t="s">
        <v>5652</v>
      </c>
      <c r="S477" s="93">
        <v>17450393.011856001</v>
      </c>
      <c r="U477" s="19" t="s">
        <v>6187</v>
      </c>
      <c r="V477" s="19">
        <v>26601</v>
      </c>
      <c r="W477" s="115">
        <v>1880.082026</v>
      </c>
      <c r="X477" s="115">
        <f t="shared" si="77"/>
        <v>50012061.973626003</v>
      </c>
      <c r="Y477" s="259" t="s">
        <v>5335</v>
      </c>
      <c r="AI477" s="147">
        <v>204</v>
      </c>
      <c r="AJ477" s="147" t="s">
        <v>6208</v>
      </c>
      <c r="AK477" s="186">
        <v>-20000000</v>
      </c>
      <c r="AL477" s="147">
        <v>0</v>
      </c>
      <c r="AM477" s="147">
        <f t="shared" ref="AM477:AM483" si="92">AL477+AM478</f>
        <v>200</v>
      </c>
      <c r="AN477" s="147">
        <f t="shared" ref="AN477:AN483" si="93">AK477*AM477</f>
        <v>-4000000000</v>
      </c>
      <c r="AO477" s="147" t="s">
        <v>6209</v>
      </c>
    </row>
    <row r="478" spans="18:46">
      <c r="R478" s="97" t="s">
        <v>5653</v>
      </c>
      <c r="S478" s="93">
        <v>31388943.254850004</v>
      </c>
      <c r="U478" s="187" t="s">
        <v>6187</v>
      </c>
      <c r="V478" s="187">
        <v>10637</v>
      </c>
      <c r="W478" s="186">
        <v>1880.082026</v>
      </c>
      <c r="X478" s="186">
        <f t="shared" si="77"/>
        <v>19998432.510561999</v>
      </c>
      <c r="Y478" s="258" t="s">
        <v>6188</v>
      </c>
      <c r="Z478" t="s">
        <v>25</v>
      </c>
      <c r="AI478" s="147">
        <v>205</v>
      </c>
      <c r="AJ478" s="147" t="s">
        <v>6208</v>
      </c>
      <c r="AK478" s="186">
        <v>2000000</v>
      </c>
      <c r="AL478" s="147">
        <v>110</v>
      </c>
      <c r="AM478" s="147">
        <f t="shared" si="92"/>
        <v>200</v>
      </c>
      <c r="AN478" s="147">
        <f t="shared" si="93"/>
        <v>400000000</v>
      </c>
      <c r="AO478" s="147" t="s">
        <v>6210</v>
      </c>
      <c r="AT478" t="s">
        <v>25</v>
      </c>
    </row>
    <row r="479" spans="18:46">
      <c r="R479" s="97" t="s">
        <v>5655</v>
      </c>
      <c r="S479" s="93">
        <v>30912095.373174001</v>
      </c>
      <c r="U479" s="19" t="s">
        <v>6193</v>
      </c>
      <c r="V479" s="19">
        <v>306</v>
      </c>
      <c r="W479" s="115">
        <v>1831.8117119999999</v>
      </c>
      <c r="X479" s="115">
        <f t="shared" si="77"/>
        <v>560534.38387200003</v>
      </c>
      <c r="Y479" s="259" t="s">
        <v>5097</v>
      </c>
      <c r="Z479" t="s">
        <v>25</v>
      </c>
      <c r="AI479" s="147">
        <v>206</v>
      </c>
      <c r="AJ479" s="147" t="s">
        <v>6423</v>
      </c>
      <c r="AK479" s="186">
        <v>5082711</v>
      </c>
      <c r="AL479" s="147">
        <v>89</v>
      </c>
      <c r="AM479" s="147">
        <f t="shared" si="92"/>
        <v>90</v>
      </c>
      <c r="AN479" s="147">
        <f t="shared" si="93"/>
        <v>457443990</v>
      </c>
      <c r="AO479" s="147" t="s">
        <v>6424</v>
      </c>
    </row>
    <row r="480" spans="18:46">
      <c r="R480" s="97" t="s">
        <v>5659</v>
      </c>
      <c r="S480" s="93">
        <v>19602926.115093999</v>
      </c>
      <c r="U480" s="19" t="s">
        <v>6195</v>
      </c>
      <c r="V480" s="19">
        <v>325</v>
      </c>
      <c r="W480" s="115">
        <v>1789.1845169999999</v>
      </c>
      <c r="X480" s="115">
        <f t="shared" si="77"/>
        <v>581484.96802499995</v>
      </c>
      <c r="Y480" s="259" t="s">
        <v>5097</v>
      </c>
      <c r="AA480" t="s">
        <v>25</v>
      </c>
      <c r="AI480" s="147">
        <v>207</v>
      </c>
      <c r="AJ480" s="147" t="s">
        <v>6853</v>
      </c>
      <c r="AK480" s="186">
        <v>7300000</v>
      </c>
      <c r="AL480" s="147">
        <v>0</v>
      </c>
      <c r="AM480" s="147">
        <f t="shared" si="92"/>
        <v>1</v>
      </c>
      <c r="AN480" s="147">
        <f t="shared" si="93"/>
        <v>7300000</v>
      </c>
      <c r="AO480" s="147" t="s">
        <v>6855</v>
      </c>
    </row>
    <row r="481" spans="18:46">
      <c r="R481" s="97" t="s">
        <v>5661</v>
      </c>
      <c r="S481" s="93">
        <v>34458590.308710001</v>
      </c>
      <c r="U481" s="19" t="s">
        <v>6197</v>
      </c>
      <c r="V481" s="19">
        <v>1154</v>
      </c>
      <c r="W481" s="115">
        <v>1851.788857</v>
      </c>
      <c r="X481" s="115">
        <f t="shared" si="77"/>
        <v>2136964.3409779998</v>
      </c>
      <c r="Y481" s="259" t="s">
        <v>5097</v>
      </c>
      <c r="AA481" t="s">
        <v>25</v>
      </c>
      <c r="AI481" s="20">
        <v>208</v>
      </c>
      <c r="AJ481" s="20" t="s">
        <v>6853</v>
      </c>
      <c r="AK481" s="115">
        <v>7000000</v>
      </c>
      <c r="AL481" s="20">
        <v>1</v>
      </c>
      <c r="AM481" s="20">
        <f t="shared" si="92"/>
        <v>1</v>
      </c>
      <c r="AN481" s="20">
        <f t="shared" si="93"/>
        <v>7000000</v>
      </c>
      <c r="AO481" s="20" t="s">
        <v>5824</v>
      </c>
    </row>
    <row r="482" spans="18:46" ht="30">
      <c r="R482" s="97" t="s">
        <v>5663</v>
      </c>
      <c r="S482" s="93">
        <v>21697868.203256</v>
      </c>
      <c r="U482" s="19" t="s">
        <v>6197</v>
      </c>
      <c r="V482" s="19">
        <v>3240</v>
      </c>
      <c r="W482" s="115">
        <v>1851.788857</v>
      </c>
      <c r="X482" s="115">
        <f t="shared" si="77"/>
        <v>5999795.8966800002</v>
      </c>
      <c r="Y482" s="259" t="s">
        <v>6198</v>
      </c>
      <c r="AB482" t="s">
        <v>25</v>
      </c>
      <c r="AI482" s="147"/>
      <c r="AJ482" s="147"/>
      <c r="AK482" s="186"/>
      <c r="AL482" s="147"/>
      <c r="AM482" s="147">
        <f t="shared" si="92"/>
        <v>0</v>
      </c>
      <c r="AN482" s="147">
        <f t="shared" si="93"/>
        <v>0</v>
      </c>
      <c r="AO482" s="147"/>
    </row>
    <row r="483" spans="18:46">
      <c r="R483" s="97" t="s">
        <v>5664</v>
      </c>
      <c r="S483" s="93">
        <v>25340079.252110001</v>
      </c>
      <c r="U483" s="19" t="s">
        <v>6197</v>
      </c>
      <c r="V483" s="19">
        <v>-3240</v>
      </c>
      <c r="W483" s="115">
        <v>1851.788857</v>
      </c>
      <c r="X483" s="115">
        <f t="shared" si="77"/>
        <v>-5999795.8966800002</v>
      </c>
      <c r="Y483" s="259" t="s">
        <v>6199</v>
      </c>
      <c r="AA483" t="s">
        <v>25</v>
      </c>
      <c r="AI483" s="147"/>
      <c r="AJ483" s="147"/>
      <c r="AK483" s="186"/>
      <c r="AL483" s="147"/>
      <c r="AM483" s="147">
        <f t="shared" si="92"/>
        <v>0</v>
      </c>
      <c r="AN483" s="147">
        <f t="shared" si="93"/>
        <v>0</v>
      </c>
      <c r="AO483" s="147"/>
    </row>
    <row r="484" spans="18:46">
      <c r="R484" s="97" t="s">
        <v>5667</v>
      </c>
      <c r="S484" s="93">
        <v>14780983.183526</v>
      </c>
      <c r="U484" s="19" t="s">
        <v>6200</v>
      </c>
      <c r="V484" s="19">
        <v>330</v>
      </c>
      <c r="W484" s="115">
        <v>1799.34311</v>
      </c>
      <c r="X484" s="115">
        <f t="shared" si="77"/>
        <v>593783.22629999998</v>
      </c>
      <c r="Y484" s="259" t="s">
        <v>5097</v>
      </c>
      <c r="AB484" t="s">
        <v>25</v>
      </c>
      <c r="AI484" s="20"/>
      <c r="AJ484" s="20"/>
      <c r="AK484" s="115"/>
      <c r="AL484" s="20"/>
      <c r="AM484" s="20">
        <f t="shared" si="90"/>
        <v>0</v>
      </c>
      <c r="AN484" s="20">
        <f t="shared" si="91"/>
        <v>0</v>
      </c>
      <c r="AO484" s="20"/>
    </row>
    <row r="485" spans="18:46">
      <c r="R485" s="97" t="s">
        <v>5667</v>
      </c>
      <c r="S485" s="93">
        <v>17804396.448481999</v>
      </c>
      <c r="U485" s="19" t="s">
        <v>6204</v>
      </c>
      <c r="V485" s="19">
        <v>266</v>
      </c>
      <c r="W485" s="115">
        <v>1764.9246700000001</v>
      </c>
      <c r="X485" s="115">
        <f t="shared" si="77"/>
        <v>469469.96222000004</v>
      </c>
      <c r="Y485" s="259" t="s">
        <v>5097</v>
      </c>
      <c r="Z485" t="s">
        <v>25</v>
      </c>
      <c r="AI485" s="20"/>
      <c r="AJ485" s="20"/>
      <c r="AK485" s="115"/>
      <c r="AL485" s="20"/>
      <c r="AM485" s="20">
        <f t="shared" si="90"/>
        <v>0</v>
      </c>
      <c r="AN485" s="20">
        <f t="shared" si="91"/>
        <v>0</v>
      </c>
      <c r="AO485" s="20"/>
    </row>
    <row r="486" spans="18:46">
      <c r="R486" s="97" t="s">
        <v>5670</v>
      </c>
      <c r="S486" s="93">
        <v>260260000</v>
      </c>
      <c r="U486" s="187" t="s">
        <v>6208</v>
      </c>
      <c r="V486" s="187">
        <v>-10637</v>
      </c>
      <c r="W486" s="186">
        <v>1739.5916549999999</v>
      </c>
      <c r="X486" s="186">
        <f t="shared" si="77"/>
        <v>-18504036.434234999</v>
      </c>
      <c r="Y486" s="258" t="s">
        <v>6211</v>
      </c>
      <c r="Z486" t="s">
        <v>25</v>
      </c>
      <c r="AB486" t="s">
        <v>25</v>
      </c>
      <c r="AI486" s="20"/>
      <c r="AJ486" s="20"/>
      <c r="AK486" s="115"/>
      <c r="AL486" s="20"/>
      <c r="AM486" s="20">
        <f t="shared" si="90"/>
        <v>0</v>
      </c>
      <c r="AN486" s="20">
        <f t="shared" si="91"/>
        <v>0</v>
      </c>
      <c r="AO486" s="20"/>
    </row>
    <row r="487" spans="18:46">
      <c r="R487" s="97" t="s">
        <v>5671</v>
      </c>
      <c r="S487" s="93">
        <v>11538335.631417999</v>
      </c>
      <c r="U487" s="19" t="s">
        <v>6208</v>
      </c>
      <c r="V487" s="19">
        <v>10637</v>
      </c>
      <c r="W487" s="115">
        <v>1739.5916549999999</v>
      </c>
      <c r="X487" s="115">
        <f t="shared" si="77"/>
        <v>18504036.434234999</v>
      </c>
      <c r="Y487" s="259" t="s">
        <v>6212</v>
      </c>
      <c r="AB487" t="s">
        <v>25</v>
      </c>
      <c r="AI487" s="97"/>
      <c r="AJ487" s="97"/>
      <c r="AK487" s="115"/>
      <c r="AL487" s="97"/>
      <c r="AM487" s="20">
        <f t="shared" si="90"/>
        <v>0</v>
      </c>
      <c r="AN487" s="20">
        <f t="shared" si="91"/>
        <v>0</v>
      </c>
      <c r="AO487" s="20"/>
    </row>
    <row r="488" spans="18:46" ht="30">
      <c r="R488" s="97" t="s">
        <v>5679</v>
      </c>
      <c r="S488" s="93">
        <v>12429517.767776001</v>
      </c>
      <c r="U488" s="19" t="s">
        <v>6235</v>
      </c>
      <c r="V488" s="19">
        <v>39478</v>
      </c>
      <c r="W488" s="115">
        <v>1873.903047</v>
      </c>
      <c r="X488" s="115">
        <f t="shared" si="77"/>
        <v>73977944.489465997</v>
      </c>
      <c r="Y488" s="259" t="s">
        <v>6236</v>
      </c>
      <c r="AI488" s="97"/>
      <c r="AJ488" s="97"/>
      <c r="AK488" s="115"/>
      <c r="AL488" s="97"/>
      <c r="AM488" s="20">
        <f>AL488+AM489</f>
        <v>0</v>
      </c>
      <c r="AN488" s="20">
        <f>AK488*AM488</f>
        <v>0</v>
      </c>
      <c r="AO488" s="97"/>
    </row>
    <row r="489" spans="18:46">
      <c r="R489" s="97" t="s">
        <v>5681</v>
      </c>
      <c r="S489" s="93">
        <v>5031176.5087869996</v>
      </c>
      <c r="U489" s="19" t="s">
        <v>6239</v>
      </c>
      <c r="V489" s="19">
        <v>283</v>
      </c>
      <c r="W489" s="115">
        <v>2014.7222959999999</v>
      </c>
      <c r="X489" s="115">
        <f t="shared" si="77"/>
        <v>570166.40976800001</v>
      </c>
      <c r="Y489" s="259" t="s">
        <v>6240</v>
      </c>
      <c r="Z489" t="s">
        <v>25</v>
      </c>
      <c r="AB489" t="s">
        <v>25</v>
      </c>
      <c r="AI489" s="97"/>
      <c r="AJ489" s="97"/>
      <c r="AK489" s="93">
        <f>SUM(AK292:AK488)</f>
        <v>221175387.84822798</v>
      </c>
      <c r="AL489" s="97"/>
      <c r="AM489" s="97"/>
      <c r="AN489" s="97">
        <f>SUM(AN292:AN488)</f>
        <v>212966705974</v>
      </c>
      <c r="AO489" s="93">
        <f>AN489*AO278/31</f>
        <v>114500518.98285995</v>
      </c>
    </row>
    <row r="490" spans="18:46">
      <c r="R490" s="97" t="s">
        <v>5685</v>
      </c>
      <c r="S490" s="93">
        <v>6822803.9080700008</v>
      </c>
      <c r="U490" s="19" t="s">
        <v>6242</v>
      </c>
      <c r="V490" s="19">
        <v>1704</v>
      </c>
      <c r="W490" s="115">
        <v>2104.0605820000001</v>
      </c>
      <c r="X490" s="115">
        <f t="shared" si="77"/>
        <v>3585319.2317280001</v>
      </c>
      <c r="Y490" s="259" t="s">
        <v>5097</v>
      </c>
      <c r="AA490" t="s">
        <v>25</v>
      </c>
      <c r="AB490" t="s">
        <v>25</v>
      </c>
      <c r="AC490" t="s">
        <v>25</v>
      </c>
      <c r="AK490" t="s">
        <v>4041</v>
      </c>
      <c r="AN490" t="s">
        <v>284</v>
      </c>
      <c r="AO490" t="s">
        <v>926</v>
      </c>
    </row>
    <row r="491" spans="18:46">
      <c r="R491" s="97" t="s">
        <v>5694</v>
      </c>
      <c r="S491" s="93">
        <v>330889.73324399994</v>
      </c>
      <c r="U491" s="19" t="s">
        <v>6245</v>
      </c>
      <c r="V491" s="19">
        <v>324</v>
      </c>
      <c r="W491" s="115">
        <v>2088.5824040000002</v>
      </c>
      <c r="X491" s="115">
        <f t="shared" si="77"/>
        <v>676700.69889600005</v>
      </c>
      <c r="Y491" s="259" t="s">
        <v>5097</v>
      </c>
      <c r="Z491" t="s">
        <v>25</v>
      </c>
      <c r="AA491" t="s">
        <v>25</v>
      </c>
      <c r="AB491" t="s">
        <v>25</v>
      </c>
      <c r="AT491" t="s">
        <v>25</v>
      </c>
    </row>
    <row r="492" spans="18:46">
      <c r="R492" s="97" t="s">
        <v>5695</v>
      </c>
      <c r="S492" s="93">
        <v>6610318.1610199995</v>
      </c>
      <c r="U492" s="19" t="s">
        <v>6253</v>
      </c>
      <c r="V492" s="19">
        <v>538</v>
      </c>
      <c r="W492" s="115">
        <v>2055.3485930000002</v>
      </c>
      <c r="X492" s="115">
        <f t="shared" si="77"/>
        <v>1105777.5430340001</v>
      </c>
      <c r="Y492" s="259" t="s">
        <v>5097</v>
      </c>
      <c r="Z492" t="s">
        <v>25</v>
      </c>
      <c r="AJ492" t="s">
        <v>4043</v>
      </c>
      <c r="AK492" s="112">
        <f>AK489+AO489</f>
        <v>335675906.83108795</v>
      </c>
      <c r="AN492" t="s">
        <v>25</v>
      </c>
    </row>
    <row r="493" spans="18:46">
      <c r="R493" s="97" t="s">
        <v>5697</v>
      </c>
      <c r="S493" s="93">
        <v>710713.17725199996</v>
      </c>
      <c r="U493" s="19" t="s">
        <v>6257</v>
      </c>
      <c r="V493" s="19">
        <v>1031</v>
      </c>
      <c r="W493" s="115">
        <v>2245.620621</v>
      </c>
      <c r="X493" s="115">
        <f t="shared" si="77"/>
        <v>2315234.8602510002</v>
      </c>
      <c r="Y493" s="259" t="s">
        <v>5097</v>
      </c>
      <c r="Z493" t="s">
        <v>25</v>
      </c>
      <c r="AB493" t="s">
        <v>25</v>
      </c>
      <c r="AJ493" t="s">
        <v>4046</v>
      </c>
      <c r="AK493" s="112">
        <f>SUM(N26:N36)</f>
        <v>3875868423</v>
      </c>
    </row>
    <row r="494" spans="18:46">
      <c r="R494" s="97" t="s">
        <v>5700</v>
      </c>
      <c r="S494" s="93">
        <v>81025</v>
      </c>
      <c r="U494" s="19" t="s">
        <v>6259</v>
      </c>
      <c r="V494" s="19">
        <v>1804</v>
      </c>
      <c r="W494" s="115">
        <v>2292.882846</v>
      </c>
      <c r="X494" s="115">
        <f t="shared" si="77"/>
        <v>4136360.6541840001</v>
      </c>
      <c r="Y494" s="259" t="s">
        <v>5097</v>
      </c>
      <c r="AB494" t="s">
        <v>25</v>
      </c>
      <c r="AJ494" t="s">
        <v>4116</v>
      </c>
      <c r="AK494" s="112">
        <f>AK493-AK489</f>
        <v>3654693035.151772</v>
      </c>
    </row>
    <row r="495" spans="18:46">
      <c r="R495" s="97" t="s">
        <v>5701</v>
      </c>
      <c r="S495" s="93">
        <v>219696.613128</v>
      </c>
      <c r="U495" s="19" t="s">
        <v>6261</v>
      </c>
      <c r="V495" s="19">
        <v>1348</v>
      </c>
      <c r="W495" s="115">
        <v>2252.0137020000002</v>
      </c>
      <c r="X495" s="115">
        <f t="shared" si="77"/>
        <v>3035714.4702960001</v>
      </c>
      <c r="Y495" s="259" t="s">
        <v>5097</v>
      </c>
      <c r="AJ495" t="s">
        <v>926</v>
      </c>
      <c r="AK495" s="112">
        <f>AO489</f>
        <v>114500518.98285995</v>
      </c>
    </row>
    <row r="496" spans="18:46">
      <c r="R496" s="97" t="s">
        <v>5702</v>
      </c>
      <c r="S496" s="93">
        <v>6035472.4070199998</v>
      </c>
      <c r="U496" s="19" t="s">
        <v>6269</v>
      </c>
      <c r="V496" s="19">
        <v>-76536</v>
      </c>
      <c r="W496" s="115">
        <v>2350.6086869999999</v>
      </c>
      <c r="X496" s="115">
        <f t="shared" si="77"/>
        <v>-179906186.46823201</v>
      </c>
      <c r="Y496" s="259" t="s">
        <v>6272</v>
      </c>
      <c r="AC496" t="s">
        <v>25</v>
      </c>
      <c r="AJ496" t="s">
        <v>4047</v>
      </c>
      <c r="AK496" s="112">
        <f>AK494-AK495</f>
        <v>3540192516.1689119</v>
      </c>
      <c r="AN496" t="s">
        <v>25</v>
      </c>
      <c r="AO496" t="s">
        <v>25</v>
      </c>
    </row>
    <row r="497" spans="18:41">
      <c r="R497" s="97" t="s">
        <v>5703</v>
      </c>
      <c r="S497" s="93">
        <v>984486.34963200008</v>
      </c>
      <c r="U497" s="19" t="s">
        <v>6274</v>
      </c>
      <c r="V497" s="19">
        <v>145</v>
      </c>
      <c r="W497" s="115">
        <v>2379.7882030000001</v>
      </c>
      <c r="X497" s="115">
        <f t="shared" si="77"/>
        <v>345069.28943499998</v>
      </c>
      <c r="Y497" s="259" t="s">
        <v>5097</v>
      </c>
      <c r="Z497" t="s">
        <v>25</v>
      </c>
      <c r="AB497" t="s">
        <v>25</v>
      </c>
      <c r="AM497" t="s">
        <v>25</v>
      </c>
      <c r="AN497" t="s">
        <v>25</v>
      </c>
      <c r="AO497" t="s">
        <v>25</v>
      </c>
    </row>
    <row r="498" spans="18:41">
      <c r="R498" s="97" t="s">
        <v>5713</v>
      </c>
      <c r="S498" s="93">
        <v>2143469.938015</v>
      </c>
      <c r="U498" s="187" t="s">
        <v>6274</v>
      </c>
      <c r="V498" s="187">
        <v>55</v>
      </c>
      <c r="W498" s="186">
        <v>2379.7882030000001</v>
      </c>
      <c r="X498" s="186">
        <f t="shared" si="77"/>
        <v>130888.351165</v>
      </c>
      <c r="Y498" s="258" t="s">
        <v>6360</v>
      </c>
      <c r="AA498" t="s">
        <v>25</v>
      </c>
    </row>
    <row r="499" spans="18:41">
      <c r="R499" s="97" t="s">
        <v>5714</v>
      </c>
      <c r="S499" s="93">
        <v>3085460.5177150001</v>
      </c>
      <c r="U499" s="19" t="s">
        <v>6274</v>
      </c>
      <c r="V499" s="19">
        <v>53</v>
      </c>
      <c r="W499" s="115">
        <v>2379.7882030000001</v>
      </c>
      <c r="X499" s="115">
        <f t="shared" si="77"/>
        <v>126128.77475900001</v>
      </c>
      <c r="Y499" s="259" t="s">
        <v>6361</v>
      </c>
      <c r="AA499" t="s">
        <v>25</v>
      </c>
      <c r="AC499" t="s">
        <v>25</v>
      </c>
    </row>
    <row r="500" spans="18:41">
      <c r="R500" s="97" t="s">
        <v>5715</v>
      </c>
      <c r="S500" s="93">
        <v>8261456.790906</v>
      </c>
      <c r="U500" s="19" t="s">
        <v>6366</v>
      </c>
      <c r="V500" s="19">
        <v>243</v>
      </c>
      <c r="W500" s="115">
        <v>2336.5653440000001</v>
      </c>
      <c r="X500" s="115">
        <f t="shared" si="77"/>
        <v>567785.37859199999</v>
      </c>
      <c r="Y500" s="259" t="s">
        <v>5097</v>
      </c>
      <c r="AO500" t="s">
        <v>25</v>
      </c>
    </row>
    <row r="501" spans="18:41">
      <c r="R501" s="97" t="s">
        <v>5719</v>
      </c>
      <c r="S501" s="93">
        <v>6572373.7593120001</v>
      </c>
      <c r="U501" s="19" t="s">
        <v>6377</v>
      </c>
      <c r="V501" s="19">
        <v>81</v>
      </c>
      <c r="W501" s="115">
        <v>2341.77675</v>
      </c>
      <c r="X501" s="115">
        <f t="shared" si="77"/>
        <v>189683.91675</v>
      </c>
      <c r="Y501" s="259" t="s">
        <v>5097</v>
      </c>
      <c r="Z501" t="s">
        <v>25</v>
      </c>
      <c r="AC501" t="s">
        <v>25</v>
      </c>
      <c r="AO501" t="s">
        <v>25</v>
      </c>
    </row>
    <row r="502" spans="18:41">
      <c r="R502" s="97" t="s">
        <v>5720</v>
      </c>
      <c r="S502" s="93">
        <v>2893243.5730909999</v>
      </c>
      <c r="U502" s="187" t="s">
        <v>6378</v>
      </c>
      <c r="V502" s="187">
        <v>21767</v>
      </c>
      <c r="W502" s="186">
        <v>2297.060872</v>
      </c>
      <c r="X502" s="186">
        <f t="shared" si="77"/>
        <v>50000124.000823997</v>
      </c>
      <c r="Y502" s="258" t="s">
        <v>6380</v>
      </c>
    </row>
    <row r="503" spans="18:41">
      <c r="R503" s="97" t="s">
        <v>5725</v>
      </c>
      <c r="S503" s="93">
        <v>94992058.939007998</v>
      </c>
      <c r="U503" s="19" t="s">
        <v>6378</v>
      </c>
      <c r="V503" s="19">
        <v>4353</v>
      </c>
      <c r="W503" s="115">
        <v>2297.060872</v>
      </c>
      <c r="X503" s="115">
        <f t="shared" si="77"/>
        <v>9999105.9758160003</v>
      </c>
      <c r="Y503" s="259" t="s">
        <v>6381</v>
      </c>
      <c r="AA503" t="s">
        <v>25</v>
      </c>
    </row>
    <row r="504" spans="18:41">
      <c r="R504" s="97" t="s">
        <v>5730</v>
      </c>
      <c r="S504" s="93">
        <v>275021.925965</v>
      </c>
      <c r="U504" s="19" t="s">
        <v>6378</v>
      </c>
      <c r="V504" s="19">
        <v>226</v>
      </c>
      <c r="W504" s="115">
        <v>2297.060872</v>
      </c>
      <c r="X504" s="115">
        <f t="shared" si="77"/>
        <v>519135.75707200001</v>
      </c>
      <c r="Y504" s="259" t="s">
        <v>5097</v>
      </c>
      <c r="AB504" t="s">
        <v>25</v>
      </c>
    </row>
    <row r="505" spans="18:41">
      <c r="R505" s="97" t="s">
        <v>5740</v>
      </c>
      <c r="S505" s="93">
        <v>327451.9203</v>
      </c>
      <c r="U505" s="19" t="s">
        <v>6384</v>
      </c>
      <c r="V505" s="19">
        <v>1416</v>
      </c>
      <c r="W505" s="115">
        <v>2405.6595360000001</v>
      </c>
      <c r="X505" s="115">
        <f t="shared" si="77"/>
        <v>3406413.9029760002</v>
      </c>
      <c r="Y505" s="259" t="s">
        <v>5097</v>
      </c>
      <c r="AA505" t="s">
        <v>25</v>
      </c>
    </row>
    <row r="506" spans="18:41">
      <c r="R506" s="97" t="s">
        <v>5748</v>
      </c>
      <c r="S506" s="93">
        <v>260081.94096800001</v>
      </c>
      <c r="U506" s="19" t="s">
        <v>6386</v>
      </c>
      <c r="V506" s="19">
        <v>172</v>
      </c>
      <c r="W506" s="115">
        <v>2529.2810939999999</v>
      </c>
      <c r="X506" s="115">
        <f t="shared" si="77"/>
        <v>435036.348168</v>
      </c>
      <c r="Y506" s="259" t="s">
        <v>5097</v>
      </c>
      <c r="AA506" t="s">
        <v>25</v>
      </c>
    </row>
    <row r="507" spans="18:41">
      <c r="R507" s="97" t="s">
        <v>5749</v>
      </c>
      <c r="S507" s="93">
        <v>2909284.5308940001</v>
      </c>
      <c r="U507" s="19" t="s">
        <v>6394</v>
      </c>
      <c r="V507" s="19">
        <v>-3909</v>
      </c>
      <c r="W507" s="115">
        <v>2881.8852230000002</v>
      </c>
      <c r="X507" s="115">
        <f>V507*W507</f>
        <v>-11265289.336707002</v>
      </c>
      <c r="Y507" s="259" t="s">
        <v>6395</v>
      </c>
    </row>
    <row r="508" spans="18:41">
      <c r="R508" s="97" t="s">
        <v>5750</v>
      </c>
      <c r="S508" s="93">
        <v>37723205.094084002</v>
      </c>
      <c r="U508" s="187" t="s">
        <v>6394</v>
      </c>
      <c r="V508" s="187">
        <v>-932</v>
      </c>
      <c r="W508" s="186">
        <v>2881.8852230000002</v>
      </c>
      <c r="X508" s="186">
        <f t="shared" si="77"/>
        <v>-2685917.0278360001</v>
      </c>
      <c r="Y508" s="258" t="s">
        <v>6396</v>
      </c>
      <c r="AB508" t="s">
        <v>25</v>
      </c>
    </row>
    <row r="509" spans="18:41">
      <c r="R509" s="97" t="s">
        <v>5751</v>
      </c>
      <c r="S509" s="93">
        <v>1500094.75168</v>
      </c>
      <c r="U509" s="19" t="s">
        <v>6405</v>
      </c>
      <c r="V509" s="19">
        <v>33</v>
      </c>
      <c r="W509" s="115">
        <v>2905.0202519999998</v>
      </c>
      <c r="X509" s="115">
        <f t="shared" si="77"/>
        <v>95865.668315999996</v>
      </c>
      <c r="Y509" s="259" t="s">
        <v>4406</v>
      </c>
    </row>
    <row r="510" spans="18:41">
      <c r="R510" s="97" t="s">
        <v>5753</v>
      </c>
      <c r="S510" s="93">
        <v>7230628.4378079996</v>
      </c>
      <c r="U510" s="187" t="s">
        <v>6423</v>
      </c>
      <c r="V510" s="187">
        <v>10421</v>
      </c>
      <c r="W510" s="186">
        <v>2780.2819920000002</v>
      </c>
      <c r="X510" s="186">
        <f t="shared" si="77"/>
        <v>28973318.638632003</v>
      </c>
      <c r="Y510" s="258" t="s">
        <v>6425</v>
      </c>
    </row>
    <row r="511" spans="18:41">
      <c r="R511" s="97" t="s">
        <v>5754</v>
      </c>
      <c r="S511" s="93">
        <v>29767389.390390001</v>
      </c>
      <c r="U511" s="19" t="s">
        <v>6423</v>
      </c>
      <c r="V511" s="19">
        <v>835</v>
      </c>
      <c r="W511" s="115">
        <v>2780.2819920000002</v>
      </c>
      <c r="X511" s="115">
        <f t="shared" si="77"/>
        <v>2321535.4633200001</v>
      </c>
      <c r="Y511" s="259" t="s">
        <v>5097</v>
      </c>
    </row>
    <row r="512" spans="18:41">
      <c r="R512" s="97" t="s">
        <v>5756</v>
      </c>
      <c r="S512" s="93">
        <v>151560.25597</v>
      </c>
      <c r="U512" s="19" t="s">
        <v>6704</v>
      </c>
      <c r="V512" s="19">
        <v>410</v>
      </c>
      <c r="W512" s="115">
        <v>2678.4068379999999</v>
      </c>
      <c r="X512" s="115">
        <f t="shared" si="77"/>
        <v>1098146.8035800001</v>
      </c>
      <c r="Y512" s="259" t="s">
        <v>5097</v>
      </c>
    </row>
    <row r="513" spans="15:28">
      <c r="R513" s="97" t="s">
        <v>5759</v>
      </c>
      <c r="S513" s="93">
        <v>481318.88078800001</v>
      </c>
      <c r="U513" s="19" t="s">
        <v>6709</v>
      </c>
      <c r="V513" s="19">
        <v>201</v>
      </c>
      <c r="W513" s="115">
        <v>2688.6794049999999</v>
      </c>
      <c r="X513" s="115">
        <f t="shared" si="77"/>
        <v>540424.560405</v>
      </c>
      <c r="Y513" s="259" t="s">
        <v>5097</v>
      </c>
      <c r="AA513" t="s">
        <v>25</v>
      </c>
    </row>
    <row r="514" spans="15:28">
      <c r="R514" s="97" t="s">
        <v>5771</v>
      </c>
      <c r="S514" s="93">
        <v>146277.56820000001</v>
      </c>
      <c r="U514" s="19" t="s">
        <v>6711</v>
      </c>
      <c r="V514" s="19">
        <v>1133</v>
      </c>
      <c r="W514" s="115">
        <v>2455.1740869999999</v>
      </c>
      <c r="X514" s="115">
        <f t="shared" si="77"/>
        <v>2781712.2405709997</v>
      </c>
      <c r="Y514" s="259" t="s">
        <v>5097</v>
      </c>
      <c r="AA514" t="s">
        <v>25</v>
      </c>
      <c r="AB514" t="s">
        <v>25</v>
      </c>
    </row>
    <row r="515" spans="15:28" ht="30">
      <c r="R515" s="97" t="s">
        <v>5774</v>
      </c>
      <c r="S515" s="93">
        <v>424693.40162399999</v>
      </c>
      <c r="U515" s="19" t="s">
        <v>6714</v>
      </c>
      <c r="V515" s="19">
        <v>59</v>
      </c>
      <c r="W515" s="115">
        <v>2706.4553110000002</v>
      </c>
      <c r="X515" s="115">
        <f t="shared" si="77"/>
        <v>159680.86334900002</v>
      </c>
      <c r="Y515" s="259" t="s">
        <v>6715</v>
      </c>
      <c r="Z515" t="s">
        <v>25</v>
      </c>
      <c r="AA515" t="s">
        <v>25</v>
      </c>
      <c r="AB515" t="s">
        <v>25</v>
      </c>
    </row>
    <row r="516" spans="15:28">
      <c r="P516" t="s">
        <v>25</v>
      </c>
      <c r="R516" s="97" t="s">
        <v>5776</v>
      </c>
      <c r="S516" s="93">
        <v>558320.40202399995</v>
      </c>
      <c r="U516" s="19" t="s">
        <v>6740</v>
      </c>
      <c r="V516" s="19">
        <v>4795</v>
      </c>
      <c r="W516" s="115">
        <v>2908.4025580000002</v>
      </c>
      <c r="X516" s="115">
        <f t="shared" si="77"/>
        <v>13945790.265610002</v>
      </c>
      <c r="Y516" s="259" t="s">
        <v>5337</v>
      </c>
    </row>
    <row r="517" spans="15:28">
      <c r="R517" s="97" t="s">
        <v>5798</v>
      </c>
      <c r="S517" s="93">
        <v>207642.22201140001</v>
      </c>
      <c r="U517" s="19" t="s">
        <v>6742</v>
      </c>
      <c r="V517" s="19">
        <v>164</v>
      </c>
      <c r="W517" s="115">
        <v>2792.1636870000002</v>
      </c>
      <c r="X517" s="115">
        <f t="shared" si="77"/>
        <v>457914.84466800001</v>
      </c>
      <c r="Y517" s="259" t="s">
        <v>5337</v>
      </c>
    </row>
    <row r="518" spans="15:28">
      <c r="R518" s="97" t="s">
        <v>5798</v>
      </c>
      <c r="S518" s="93">
        <v>33832510.64875</v>
      </c>
      <c r="U518" s="19" t="s">
        <v>6744</v>
      </c>
      <c r="V518" s="19">
        <v>352</v>
      </c>
      <c r="W518" s="115">
        <v>2768.6657369999998</v>
      </c>
      <c r="X518" s="115">
        <f t="shared" si="77"/>
        <v>974570.33942399989</v>
      </c>
      <c r="Y518" s="259" t="s">
        <v>5337</v>
      </c>
    </row>
    <row r="519" spans="15:28">
      <c r="R519" s="97" t="s">
        <v>5807</v>
      </c>
      <c r="S519" s="93">
        <v>637977.33504399995</v>
      </c>
      <c r="U519" s="19" t="s">
        <v>6746</v>
      </c>
      <c r="V519" s="19">
        <v>283</v>
      </c>
      <c r="W519" s="115">
        <v>2636.7439079999999</v>
      </c>
      <c r="X519" s="115">
        <f t="shared" si="77"/>
        <v>746198.52596400003</v>
      </c>
      <c r="Y519" s="259" t="s">
        <v>5337</v>
      </c>
      <c r="Z519" t="s">
        <v>25</v>
      </c>
    </row>
    <row r="520" spans="15:28">
      <c r="R520" s="97" t="s">
        <v>5808</v>
      </c>
      <c r="S520" s="93">
        <v>466552.25632400002</v>
      </c>
      <c r="U520" s="19" t="s">
        <v>6748</v>
      </c>
      <c r="V520" s="19">
        <v>154</v>
      </c>
      <c r="W520" s="115">
        <v>2702</v>
      </c>
      <c r="X520" s="115">
        <f t="shared" si="77"/>
        <v>416108</v>
      </c>
      <c r="Y520" s="259" t="s">
        <v>5337</v>
      </c>
      <c r="Z520" t="s">
        <v>25</v>
      </c>
      <c r="AA520" t="s">
        <v>25</v>
      </c>
    </row>
    <row r="521" spans="15:28">
      <c r="R521" s="97" t="s">
        <v>5809</v>
      </c>
      <c r="S521" s="93">
        <v>149316.98805000001</v>
      </c>
      <c r="U521" s="19" t="s">
        <v>6762</v>
      </c>
      <c r="V521" s="19">
        <v>135</v>
      </c>
      <c r="W521" s="115">
        <v>2678.6709300000002</v>
      </c>
      <c r="X521" s="115">
        <f t="shared" si="77"/>
        <v>361620.57555000001</v>
      </c>
      <c r="Y521" s="259" t="s">
        <v>5337</v>
      </c>
      <c r="AA521" t="s">
        <v>25</v>
      </c>
    </row>
    <row r="522" spans="15:28">
      <c r="R522" s="97" t="s">
        <v>5809</v>
      </c>
      <c r="S522" s="93">
        <v>189134.85153000001</v>
      </c>
      <c r="U522" s="19" t="s">
        <v>6763</v>
      </c>
      <c r="V522" s="19">
        <v>291</v>
      </c>
      <c r="W522" s="115">
        <v>2616.1873500000002</v>
      </c>
      <c r="X522" s="115">
        <f t="shared" si="77"/>
        <v>761310.51884999999</v>
      </c>
      <c r="Y522" s="259" t="s">
        <v>5337</v>
      </c>
      <c r="AA522" t="s">
        <v>25</v>
      </c>
    </row>
    <row r="523" spans="15:28">
      <c r="R523" s="97" t="s">
        <v>5811</v>
      </c>
      <c r="S523" s="93">
        <v>564888.82799599995</v>
      </c>
      <c r="U523" s="19" t="s">
        <v>6766</v>
      </c>
      <c r="V523" s="19">
        <v>1194</v>
      </c>
      <c r="W523" s="115">
        <v>2552.0103049999998</v>
      </c>
      <c r="X523" s="115">
        <f t="shared" si="77"/>
        <v>3047100.3041699999</v>
      </c>
      <c r="Y523" s="259" t="s">
        <v>5337</v>
      </c>
      <c r="Z523" t="s">
        <v>25</v>
      </c>
      <c r="AA523" t="s">
        <v>25</v>
      </c>
    </row>
    <row r="524" spans="15:28">
      <c r="R524" s="97" t="s">
        <v>5814</v>
      </c>
      <c r="S524" s="93">
        <v>8762299.2047910001</v>
      </c>
      <c r="U524" s="19" t="s">
        <v>6769</v>
      </c>
      <c r="V524" s="19">
        <v>928</v>
      </c>
      <c r="W524" s="115">
        <v>2626.1621239999999</v>
      </c>
      <c r="X524" s="115">
        <f t="shared" si="77"/>
        <v>2437078.451072</v>
      </c>
      <c r="Y524" s="259" t="s">
        <v>5337</v>
      </c>
    </row>
    <row r="525" spans="15:28">
      <c r="R525" s="97" t="s">
        <v>5814</v>
      </c>
      <c r="S525" s="93">
        <v>-341847876.93843603</v>
      </c>
      <c r="U525" s="187" t="s">
        <v>6826</v>
      </c>
      <c r="V525" s="187">
        <v>-15181</v>
      </c>
      <c r="W525" s="186">
        <v>2675.3319820000002</v>
      </c>
      <c r="X525" s="186">
        <f t="shared" si="77"/>
        <v>-40614214.818742</v>
      </c>
      <c r="Y525" s="258" t="s">
        <v>6827</v>
      </c>
      <c r="AB525" t="s">
        <v>25</v>
      </c>
    </row>
    <row r="526" spans="15:28">
      <c r="R526" s="97" t="s">
        <v>5837</v>
      </c>
      <c r="S526" s="93">
        <v>259993.58394100002</v>
      </c>
      <c r="U526" s="19" t="s">
        <v>6850</v>
      </c>
      <c r="V526" s="19">
        <v>3122</v>
      </c>
      <c r="W526" s="115">
        <v>2481.626972</v>
      </c>
      <c r="X526" s="115">
        <f t="shared" si="77"/>
        <v>7747639.4065840002</v>
      </c>
      <c r="Y526" s="259" t="s">
        <v>5337</v>
      </c>
      <c r="AB526" t="s">
        <v>5525</v>
      </c>
    </row>
    <row r="527" spans="15:28">
      <c r="O527" s="112"/>
      <c r="R527" s="97" t="s">
        <v>5838</v>
      </c>
      <c r="S527" s="93">
        <v>269955.31205999997</v>
      </c>
      <c r="U527" s="19" t="s">
        <v>6852</v>
      </c>
      <c r="V527" s="19">
        <v>2209</v>
      </c>
      <c r="W527" s="115">
        <v>2528.2563839999998</v>
      </c>
      <c r="X527" s="115">
        <f t="shared" si="77"/>
        <v>5584918.3522559991</v>
      </c>
      <c r="Y527" s="259" t="s">
        <v>5337</v>
      </c>
      <c r="Z527" t="s">
        <v>25</v>
      </c>
    </row>
    <row r="528" spans="15:28">
      <c r="R528" s="97" t="s">
        <v>6193</v>
      </c>
      <c r="S528" s="93">
        <v>560534.38387200003</v>
      </c>
      <c r="U528" s="187" t="s">
        <v>6853</v>
      </c>
      <c r="V528" s="187">
        <v>2977</v>
      </c>
      <c r="W528" s="186">
        <v>2451.5674020000001</v>
      </c>
      <c r="X528" s="186">
        <f t="shared" si="77"/>
        <v>7298316.1557539999</v>
      </c>
      <c r="Y528" s="258" t="s">
        <v>1069</v>
      </c>
      <c r="Z528" t="s">
        <v>25</v>
      </c>
    </row>
    <row r="529" spans="18:28">
      <c r="R529" s="97" t="s">
        <v>6195</v>
      </c>
      <c r="S529" s="93">
        <v>581484.96802499995</v>
      </c>
      <c r="U529" s="19" t="s">
        <v>6853</v>
      </c>
      <c r="V529" s="19">
        <v>2857</v>
      </c>
      <c r="W529" s="115">
        <v>2451.5674020000001</v>
      </c>
      <c r="X529" s="115">
        <f t="shared" si="77"/>
        <v>7004128.0675140005</v>
      </c>
      <c r="Y529" s="259" t="s">
        <v>743</v>
      </c>
    </row>
    <row r="530" spans="18:28">
      <c r="R530" s="97" t="s">
        <v>6197</v>
      </c>
      <c r="S530" s="93">
        <v>2136964.3409779998</v>
      </c>
      <c r="U530" s="19" t="s">
        <v>6853</v>
      </c>
      <c r="V530" s="19">
        <v>234</v>
      </c>
      <c r="W530" s="115">
        <v>2451.5674020000001</v>
      </c>
      <c r="X530" s="115">
        <f t="shared" si="77"/>
        <v>573666.77206800005</v>
      </c>
      <c r="Y530" s="259" t="s">
        <v>5097</v>
      </c>
      <c r="Z530" t="s">
        <v>25</v>
      </c>
    </row>
    <row r="531" spans="18:28">
      <c r="R531" s="97" t="s">
        <v>6200</v>
      </c>
      <c r="S531" s="93">
        <v>593783.22629999998</v>
      </c>
      <c r="U531" s="19" t="s">
        <v>6862</v>
      </c>
      <c r="V531" s="19">
        <v>751</v>
      </c>
      <c r="W531" s="115">
        <v>2490.0381539999998</v>
      </c>
      <c r="X531" s="115">
        <f t="shared" si="77"/>
        <v>1870018.6536539998</v>
      </c>
      <c r="Y531" s="259" t="s">
        <v>5097</v>
      </c>
      <c r="AA531" t="s">
        <v>25</v>
      </c>
    </row>
    <row r="532" spans="18:28">
      <c r="R532" s="97" t="s">
        <v>6204</v>
      </c>
      <c r="S532" s="93">
        <v>469469.96222000004</v>
      </c>
      <c r="U532" s="19" t="s">
        <v>6870</v>
      </c>
      <c r="V532" s="19">
        <v>44</v>
      </c>
      <c r="W532" s="115">
        <v>2664.1462569999999</v>
      </c>
      <c r="X532" s="115">
        <f t="shared" si="77"/>
        <v>117222.435308</v>
      </c>
      <c r="Y532" s="259" t="s">
        <v>5097</v>
      </c>
      <c r="AA532" t="s">
        <v>25</v>
      </c>
    </row>
    <row r="533" spans="18:28">
      <c r="R533" s="97" t="s">
        <v>6235</v>
      </c>
      <c r="S533" s="93">
        <v>73977944.489465997</v>
      </c>
      <c r="U533" s="19" t="s">
        <v>6872</v>
      </c>
      <c r="V533" s="19">
        <v>717</v>
      </c>
      <c r="W533" s="115">
        <v>2706.9144700000002</v>
      </c>
      <c r="X533" s="115">
        <f t="shared" si="77"/>
        <v>1940857.6749900002</v>
      </c>
      <c r="Y533" s="259" t="s">
        <v>5097</v>
      </c>
    </row>
    <row r="534" spans="18:28">
      <c r="R534" s="97" t="s">
        <v>6239</v>
      </c>
      <c r="S534" s="93">
        <v>570166.40976800001</v>
      </c>
      <c r="U534" s="19" t="s">
        <v>6893</v>
      </c>
      <c r="V534" s="19">
        <v>86686</v>
      </c>
      <c r="W534" s="115">
        <v>2307.1718759999999</v>
      </c>
      <c r="X534" s="115">
        <f t="shared" si="77"/>
        <v>199999501.24293599</v>
      </c>
      <c r="Y534" s="443" t="s">
        <v>6901</v>
      </c>
      <c r="Z534" t="s">
        <v>25</v>
      </c>
    </row>
    <row r="535" spans="18:28">
      <c r="R535" s="97" t="s">
        <v>6242</v>
      </c>
      <c r="S535" s="93">
        <v>3585319.2317280001</v>
      </c>
      <c r="U535" s="19" t="s">
        <v>6906</v>
      </c>
      <c r="V535" s="19">
        <v>81</v>
      </c>
      <c r="W535" s="115">
        <v>2411.414808</v>
      </c>
      <c r="X535" s="115">
        <f t="shared" si="77"/>
        <v>195324.59944799999</v>
      </c>
      <c r="Y535" s="259" t="s">
        <v>5097</v>
      </c>
      <c r="AA535" t="s">
        <v>25</v>
      </c>
      <c r="AB535" t="s">
        <v>25</v>
      </c>
    </row>
    <row r="536" spans="18:28">
      <c r="R536" s="97" t="s">
        <v>6245</v>
      </c>
      <c r="S536" s="93">
        <v>676700.69889600005</v>
      </c>
      <c r="U536" s="19" t="s">
        <v>6906</v>
      </c>
      <c r="V536" s="19">
        <v>8426</v>
      </c>
      <c r="W536" s="115">
        <v>2411.414808</v>
      </c>
      <c r="X536" s="115">
        <f t="shared" si="77"/>
        <v>20318581.172208</v>
      </c>
      <c r="Y536" s="443" t="s">
        <v>6907</v>
      </c>
    </row>
    <row r="537" spans="18:28">
      <c r="R537" s="97" t="s">
        <v>6253</v>
      </c>
      <c r="S537" s="93">
        <v>1105777.5430340001</v>
      </c>
      <c r="U537" s="19" t="s">
        <v>6908</v>
      </c>
      <c r="V537" s="19">
        <v>1242</v>
      </c>
      <c r="W537" s="115">
        <v>2330.0938919999999</v>
      </c>
      <c r="X537" s="115">
        <f t="shared" si="77"/>
        <v>2893976.613864</v>
      </c>
      <c r="Y537" s="259" t="s">
        <v>5097</v>
      </c>
    </row>
    <row r="538" spans="18:28">
      <c r="R538" s="97" t="s">
        <v>6257</v>
      </c>
      <c r="S538" s="93">
        <v>2315234.8602510002</v>
      </c>
      <c r="U538" s="19" t="s">
        <v>6909</v>
      </c>
      <c r="V538" s="19">
        <v>149</v>
      </c>
      <c r="W538" s="115">
        <v>2336.750747</v>
      </c>
      <c r="X538" s="115">
        <f t="shared" si="77"/>
        <v>348175.86130300001</v>
      </c>
      <c r="Y538" s="259" t="s">
        <v>5097</v>
      </c>
    </row>
    <row r="539" spans="18:28">
      <c r="R539" s="97" t="s">
        <v>6259</v>
      </c>
      <c r="S539" s="93">
        <v>4136360.6541840001</v>
      </c>
      <c r="U539" s="19" t="s">
        <v>6920</v>
      </c>
      <c r="V539" s="19">
        <v>125</v>
      </c>
      <c r="W539" s="115">
        <v>2522.243884</v>
      </c>
      <c r="X539" s="115">
        <f t="shared" si="77"/>
        <v>315280.48550000001</v>
      </c>
      <c r="Y539" s="259" t="s">
        <v>5097</v>
      </c>
    </row>
    <row r="540" spans="18:28" ht="30">
      <c r="R540" s="97" t="s">
        <v>6261</v>
      </c>
      <c r="S540" s="93">
        <v>3035714.4702960001</v>
      </c>
      <c r="U540" s="19" t="s">
        <v>6920</v>
      </c>
      <c r="V540" s="19">
        <v>2429</v>
      </c>
      <c r="W540" s="115">
        <v>2522.243884</v>
      </c>
      <c r="X540" s="115">
        <f t="shared" si="77"/>
        <v>6126530.3942360003</v>
      </c>
      <c r="Y540" s="259" t="s">
        <v>6923</v>
      </c>
    </row>
    <row r="541" spans="18:28">
      <c r="R541" s="97" t="s">
        <v>6269</v>
      </c>
      <c r="S541" s="93">
        <v>-179906186.46823201</v>
      </c>
      <c r="U541" s="19" t="s">
        <v>6920</v>
      </c>
      <c r="V541" s="19">
        <v>-2429</v>
      </c>
      <c r="W541" s="115">
        <v>2522.243884</v>
      </c>
      <c r="X541" s="115">
        <f t="shared" si="77"/>
        <v>-6126530.3942360003</v>
      </c>
      <c r="Y541" s="443" t="s">
        <v>6924</v>
      </c>
    </row>
    <row r="542" spans="18:28">
      <c r="R542" s="97" t="s">
        <v>6274</v>
      </c>
      <c r="S542" s="93">
        <v>345069.28943499998</v>
      </c>
      <c r="U542" s="19" t="s">
        <v>6926</v>
      </c>
      <c r="V542" s="19">
        <v>73</v>
      </c>
      <c r="W542" s="115">
        <v>2521.1733559999998</v>
      </c>
      <c r="X542" s="115">
        <f t="shared" si="77"/>
        <v>184045.65498799999</v>
      </c>
      <c r="Y542" s="443" t="s">
        <v>5097</v>
      </c>
      <c r="AA542" t="s">
        <v>25</v>
      </c>
    </row>
    <row r="543" spans="18:28">
      <c r="R543" s="97" t="s">
        <v>6366</v>
      </c>
      <c r="S543" s="93">
        <v>567785.37859199999</v>
      </c>
      <c r="U543" s="19"/>
      <c r="V543" s="19"/>
      <c r="W543" s="115"/>
      <c r="X543" s="115"/>
      <c r="Y543" s="443"/>
      <c r="AA543" t="s">
        <v>25</v>
      </c>
    </row>
    <row r="544" spans="18:28">
      <c r="R544" s="97" t="s">
        <v>6377</v>
      </c>
      <c r="S544" s="93">
        <v>189683.91675</v>
      </c>
      <c r="U544" s="19"/>
      <c r="V544" s="19"/>
      <c r="W544" s="115"/>
      <c r="X544" s="115"/>
      <c r="Y544" s="443"/>
    </row>
    <row r="545" spans="18:27">
      <c r="R545" s="97" t="s">
        <v>6378</v>
      </c>
      <c r="S545" s="93">
        <v>10000000</v>
      </c>
      <c r="U545" s="19"/>
      <c r="V545" s="19"/>
      <c r="W545" s="115"/>
      <c r="X545" s="115"/>
      <c r="Y545" s="443"/>
    </row>
    <row r="546" spans="18:27">
      <c r="R546" s="97" t="s">
        <v>6378</v>
      </c>
      <c r="S546" s="93">
        <v>519135.75707200001</v>
      </c>
      <c r="U546" s="19"/>
      <c r="V546" s="19"/>
      <c r="W546" s="115"/>
      <c r="X546" s="115"/>
      <c r="Y546" s="443"/>
      <c r="AA546" t="s">
        <v>25</v>
      </c>
    </row>
    <row r="547" spans="18:27">
      <c r="R547" s="97" t="s">
        <v>6384</v>
      </c>
      <c r="S547" s="93">
        <v>3406413.9029760002</v>
      </c>
      <c r="U547" s="19"/>
      <c r="V547" s="19"/>
      <c r="W547" s="115"/>
      <c r="X547" s="115"/>
      <c r="Y547" s="443"/>
    </row>
    <row r="548" spans="18:27">
      <c r="R548" s="97" t="s">
        <v>6386</v>
      </c>
      <c r="S548" s="93">
        <v>435036.348168</v>
      </c>
      <c r="U548" s="19"/>
      <c r="V548" s="19"/>
      <c r="W548" s="115"/>
      <c r="X548" s="115">
        <f t="shared" si="77"/>
        <v>0</v>
      </c>
      <c r="Y548" s="259"/>
      <c r="Z548" t="s">
        <v>25</v>
      </c>
    </row>
    <row r="549" spans="18:27">
      <c r="R549" s="97" t="s">
        <v>6423</v>
      </c>
      <c r="S549" s="93">
        <v>2321535.4633200001</v>
      </c>
      <c r="U549" s="97"/>
      <c r="V549" s="166"/>
      <c r="W549" s="111"/>
      <c r="X549" s="115">
        <f t="shared" si="77"/>
        <v>0</v>
      </c>
      <c r="Y549" s="97"/>
    </row>
    <row r="550" spans="18:27">
      <c r="R550" s="97" t="s">
        <v>6704</v>
      </c>
      <c r="S550" s="93">
        <v>1098146.8035800001</v>
      </c>
      <c r="U550" s="166"/>
      <c r="V550" s="166">
        <f>SUM(V173:V549)</f>
        <v>4419303</v>
      </c>
      <c r="W550" s="97"/>
      <c r="X550" s="97"/>
      <c r="Y550" s="97"/>
    </row>
    <row r="551" spans="18:27">
      <c r="R551" s="97" t="s">
        <v>6709</v>
      </c>
      <c r="S551" s="93">
        <v>540424.560405</v>
      </c>
      <c r="U551" s="97"/>
      <c r="V551" s="97" t="s">
        <v>6</v>
      </c>
      <c r="W551" s="97"/>
      <c r="X551" s="97"/>
      <c r="Y551" s="97"/>
      <c r="AA551" t="s">
        <v>25</v>
      </c>
    </row>
    <row r="552" spans="18:27">
      <c r="R552" s="97" t="s">
        <v>6711</v>
      </c>
      <c r="S552" s="93">
        <v>2781712.2405709997</v>
      </c>
      <c r="U552" s="196" t="s">
        <v>4433</v>
      </c>
      <c r="Z552" t="s">
        <v>25</v>
      </c>
    </row>
    <row r="553" spans="18:27">
      <c r="R553" s="97" t="s">
        <v>6714</v>
      </c>
      <c r="S553" s="93">
        <v>159680.86334900002</v>
      </c>
      <c r="U553" s="195">
        <f>S191/V550</f>
        <v>2510.3046197556491</v>
      </c>
      <c r="Y553" t="s">
        <v>25</v>
      </c>
    </row>
    <row r="554" spans="18:27">
      <c r="R554" s="97" t="s">
        <v>6740</v>
      </c>
      <c r="S554" s="93">
        <v>13945790.265610002</v>
      </c>
      <c r="X554" s="112"/>
    </row>
    <row r="555" spans="18:27">
      <c r="R555" s="97" t="s">
        <v>6742</v>
      </c>
      <c r="S555" s="93">
        <v>457914.84466800001</v>
      </c>
      <c r="V555" s="94" t="s">
        <v>267</v>
      </c>
      <c r="W555" t="s">
        <v>4434</v>
      </c>
      <c r="Y555" t="s">
        <v>25</v>
      </c>
    </row>
    <row r="556" spans="18:27">
      <c r="R556" s="97" t="s">
        <v>6744</v>
      </c>
      <c r="S556" s="93">
        <v>974570.33942399989</v>
      </c>
      <c r="U556" s="112"/>
      <c r="V556" s="93">
        <v>-186063</v>
      </c>
      <c r="W556">
        <f>V556/U553</f>
        <v>-74.119689911621649</v>
      </c>
      <c r="Y556" t="s">
        <v>25</v>
      </c>
    </row>
    <row r="557" spans="18:27">
      <c r="R557" s="97" t="s">
        <v>6746</v>
      </c>
      <c r="S557" s="93">
        <v>746198.52596400003</v>
      </c>
      <c r="U557" t="s">
        <v>25</v>
      </c>
      <c r="Y557" t="s">
        <v>25</v>
      </c>
    </row>
    <row r="558" spans="18:27">
      <c r="R558" s="97" t="s">
        <v>6748</v>
      </c>
      <c r="S558" s="93">
        <v>416108</v>
      </c>
      <c r="U558" t="s">
        <v>25</v>
      </c>
      <c r="V558" s="94" t="s">
        <v>25</v>
      </c>
      <c r="W558" s="22"/>
      <c r="X558" s="212"/>
      <c r="Y558" s="268" t="s">
        <v>25</v>
      </c>
    </row>
    <row r="559" spans="18:27">
      <c r="R559" s="97" t="s">
        <v>6762</v>
      </c>
      <c r="S559" s="93">
        <v>361620.57555000001</v>
      </c>
      <c r="W559" t="s">
        <v>25</v>
      </c>
      <c r="X559" s="94" t="s">
        <v>25</v>
      </c>
      <c r="Y559" t="s">
        <v>25</v>
      </c>
    </row>
    <row r="560" spans="18:27">
      <c r="R560" s="97" t="s">
        <v>6763</v>
      </c>
      <c r="S560" s="93">
        <v>761310.51884999999</v>
      </c>
      <c r="U560" t="s">
        <v>25</v>
      </c>
      <c r="X560" s="112"/>
      <c r="Y560" s="112"/>
    </row>
    <row r="561" spans="18:25">
      <c r="R561" s="97" t="s">
        <v>6766</v>
      </c>
      <c r="S561" s="93">
        <v>3047100.3041699999</v>
      </c>
      <c r="U561" s="22"/>
      <c r="W561" s="212"/>
    </row>
    <row r="562" spans="18:25">
      <c r="R562" s="97" t="s">
        <v>6769</v>
      </c>
      <c r="S562" s="93">
        <v>2437078.451072</v>
      </c>
      <c r="U562" s="22"/>
      <c r="X562" s="268"/>
    </row>
    <row r="563" spans="18:25">
      <c r="R563" s="97" t="s">
        <v>6850</v>
      </c>
      <c r="S563" s="93">
        <v>7747639.4065840002</v>
      </c>
    </row>
    <row r="564" spans="18:25">
      <c r="R564" s="97" t="s">
        <v>6852</v>
      </c>
      <c r="S564" s="93">
        <v>5584918.3522559991</v>
      </c>
    </row>
    <row r="565" spans="18:25">
      <c r="R565" s="97" t="s">
        <v>6853</v>
      </c>
      <c r="S565" s="93">
        <v>573666.77206800005</v>
      </c>
      <c r="U565" s="97" t="s">
        <v>4435</v>
      </c>
      <c r="V565" s="97" t="s">
        <v>4416</v>
      </c>
      <c r="W565" s="97" t="s">
        <v>936</v>
      </c>
      <c r="X565" s="373"/>
    </row>
    <row r="566" spans="18:25">
      <c r="R566" s="97" t="s">
        <v>6862</v>
      </c>
      <c r="S566" s="93">
        <v>1870018.6536539998</v>
      </c>
      <c r="U566" s="93">
        <f>T247+S318+S581</f>
        <v>2618149680.8422146</v>
      </c>
      <c r="V566" s="93">
        <f>S191</f>
        <v>11093796737</v>
      </c>
      <c r="W566" s="93">
        <f>V566-U566</f>
        <v>8475647056.1577854</v>
      </c>
    </row>
    <row r="567" spans="18:25">
      <c r="R567" s="97" t="s">
        <v>6870</v>
      </c>
      <c r="S567" s="93">
        <v>117222.435308</v>
      </c>
      <c r="X567" s="94" t="s">
        <v>25</v>
      </c>
    </row>
    <row r="568" spans="18:25">
      <c r="R568" s="97" t="s">
        <v>6872</v>
      </c>
      <c r="S568" s="93">
        <v>1940857.6749900002</v>
      </c>
      <c r="W568">
        <v>193</v>
      </c>
    </row>
    <row r="569" spans="18:25">
      <c r="R569" s="97" t="s">
        <v>6893</v>
      </c>
      <c r="S569" s="93">
        <v>200000000</v>
      </c>
      <c r="U569" s="94" t="s">
        <v>5405</v>
      </c>
      <c r="V569" s="120">
        <v>353427</v>
      </c>
      <c r="W569" s="112">
        <f>V569*$W$568</f>
        <v>68211411</v>
      </c>
    </row>
    <row r="570" spans="18:25">
      <c r="R570" s="97" t="s">
        <v>6906</v>
      </c>
      <c r="S570" s="93">
        <v>195324.59944799999</v>
      </c>
      <c r="U570" t="s">
        <v>6948</v>
      </c>
      <c r="V570">
        <v>2333000</v>
      </c>
      <c r="W570" s="112">
        <f>V570*$W$568</f>
        <v>450269000</v>
      </c>
    </row>
    <row r="571" spans="18:25">
      <c r="R571" s="97" t="s">
        <v>6906</v>
      </c>
      <c r="S571" s="93">
        <v>20318581.172208</v>
      </c>
      <c r="U571" t="s">
        <v>1069</v>
      </c>
      <c r="V571" s="113">
        <v>309975</v>
      </c>
      <c r="W571" s="112">
        <f>V571*$W$568</f>
        <v>59825175</v>
      </c>
    </row>
    <row r="572" spans="18:25">
      <c r="R572" s="97" t="s">
        <v>6908</v>
      </c>
      <c r="S572" s="93">
        <v>2893976.613864</v>
      </c>
      <c r="U572" t="s">
        <v>452</v>
      </c>
      <c r="V572" s="113">
        <v>2914000</v>
      </c>
      <c r="W572" s="112">
        <f>V572*$W$568</f>
        <v>562402000</v>
      </c>
    </row>
    <row r="573" spans="18:25">
      <c r="R573" s="97" t="s">
        <v>6909</v>
      </c>
      <c r="S573" s="93">
        <v>348175.86130300001</v>
      </c>
      <c r="U573" s="112" t="s">
        <v>25</v>
      </c>
    </row>
    <row r="574" spans="18:25">
      <c r="R574" s="97" t="s">
        <v>6920</v>
      </c>
      <c r="S574" s="93">
        <v>315280.48550000001</v>
      </c>
      <c r="U574" t="s">
        <v>25</v>
      </c>
    </row>
    <row r="575" spans="18:25">
      <c r="R575" s="97" t="s">
        <v>6920</v>
      </c>
      <c r="S575" s="93">
        <v>6128000</v>
      </c>
      <c r="U575" t="s">
        <v>25</v>
      </c>
      <c r="W575" t="s">
        <v>25</v>
      </c>
      <c r="Y575" s="112"/>
    </row>
    <row r="576" spans="18:25">
      <c r="R576" s="97" t="s">
        <v>6926</v>
      </c>
      <c r="S576" s="93">
        <v>184045.65498799999</v>
      </c>
      <c r="X576" s="94" t="s">
        <v>25</v>
      </c>
    </row>
    <row r="577" spans="18:25">
      <c r="R577" s="97"/>
      <c r="S577" s="93"/>
      <c r="U577" t="s">
        <v>25</v>
      </c>
    </row>
    <row r="578" spans="18:25">
      <c r="R578" s="97"/>
      <c r="S578" s="93"/>
      <c r="U578" t="s">
        <v>25</v>
      </c>
    </row>
    <row r="579" spans="18:25">
      <c r="R579" s="97" t="s">
        <v>25</v>
      </c>
      <c r="S579" s="93"/>
      <c r="U579" s="373" t="s">
        <v>25</v>
      </c>
      <c r="V579" s="373"/>
      <c r="W579" s="373"/>
    </row>
    <row r="580" spans="18:25">
      <c r="R580" s="97" t="s">
        <v>25</v>
      </c>
      <c r="S580" s="97" t="s">
        <v>25</v>
      </c>
      <c r="U580" s="373" t="s">
        <v>25</v>
      </c>
      <c r="V580" s="373"/>
      <c r="W580" s="373"/>
      <c r="X580" s="94" t="s">
        <v>25</v>
      </c>
    </row>
    <row r="581" spans="18:25">
      <c r="R581" s="97"/>
      <c r="S581" s="93">
        <f>SUM(S323:S580)</f>
        <v>2337797101.2769513</v>
      </c>
      <c r="U581" s="373"/>
      <c r="V581" s="373"/>
      <c r="W581" s="373"/>
      <c r="Y581" t="s">
        <v>25</v>
      </c>
    </row>
    <row r="582" spans="18:25">
      <c r="S582" s="97" t="s">
        <v>6</v>
      </c>
      <c r="U582" s="373"/>
      <c r="V582" s="373"/>
      <c r="W582" s="373" t="s">
        <v>25</v>
      </c>
    </row>
    <row r="583" spans="18:25">
      <c r="U583" s="373"/>
      <c r="V583" s="373"/>
      <c r="W583" s="373"/>
    </row>
    <row r="584" spans="18:25">
      <c r="R584" t="s">
        <v>25</v>
      </c>
      <c r="U584" s="373"/>
      <c r="V584" s="373" t="s">
        <v>25</v>
      </c>
      <c r="W584" s="373"/>
    </row>
    <row r="585" spans="18:25">
      <c r="R585" t="s">
        <v>25</v>
      </c>
      <c r="U585" s="373"/>
      <c r="V585" s="373"/>
      <c r="W585" s="373"/>
    </row>
    <row r="586" spans="18:25">
      <c r="R586" t="s">
        <v>25</v>
      </c>
      <c r="S586" t="s">
        <v>25</v>
      </c>
      <c r="U586" s="373"/>
      <c r="V586" s="373"/>
      <c r="W586" s="373"/>
    </row>
    <row r="587" spans="18:25">
      <c r="R587" t="s">
        <v>25</v>
      </c>
      <c r="S587" t="s">
        <v>25</v>
      </c>
      <c r="U587" s="373"/>
      <c r="V587" s="373"/>
      <c r="W587" s="373"/>
    </row>
    <row r="588" spans="18:25">
      <c r="R588" s="112"/>
      <c r="S588" t="s">
        <v>25</v>
      </c>
      <c r="U588" s="373"/>
      <c r="V588" s="373"/>
      <c r="W588" s="373"/>
    </row>
    <row r="589" spans="18:25">
      <c r="U589" s="373"/>
      <c r="V589" s="373"/>
      <c r="W589" s="373"/>
    </row>
    <row r="590" spans="18:25">
      <c r="S590" t="s">
        <v>25</v>
      </c>
      <c r="U590" s="373"/>
      <c r="V590" s="373"/>
      <c r="W590" s="373"/>
      <c r="Y590" t="s">
        <v>25</v>
      </c>
    </row>
    <row r="591" spans="18:25">
      <c r="R591" t="s">
        <v>25</v>
      </c>
      <c r="U591" s="373"/>
      <c r="V591" s="373"/>
      <c r="W591" s="373"/>
    </row>
    <row r="592" spans="18:25">
      <c r="U592" s="373"/>
      <c r="V592" s="373"/>
      <c r="W592" s="373"/>
    </row>
    <row r="593" spans="21:24">
      <c r="U593" s="373"/>
      <c r="V593" s="373"/>
      <c r="W593" s="373"/>
    </row>
    <row r="595" spans="21:24">
      <c r="U595" s="94"/>
      <c r="W595" s="94"/>
    </row>
    <row r="596" spans="21:24">
      <c r="U596" s="94"/>
      <c r="W596" s="94"/>
      <c r="X596" s="112"/>
    </row>
    <row r="597" spans="21:24">
      <c r="U597" s="94"/>
      <c r="W597" s="94"/>
    </row>
    <row r="598" spans="21:24">
      <c r="U598" s="94"/>
      <c r="W598" s="94"/>
    </row>
    <row r="600" spans="21:24">
      <c r="V600" s="112"/>
    </row>
  </sheetData>
  <mergeCells count="1">
    <mergeCell ref="J85:K85"/>
  </mergeCells>
  <conditionalFormatting sqref="G3:G6">
    <cfRule type="cellIs" dxfId="15" priority="15" operator="greaterThan">
      <formula>0</formula>
    </cfRule>
  </conditionalFormatting>
  <conditionalFormatting sqref="G2:G62">
    <cfRule type="cellIs" dxfId="14" priority="14" operator="greaterThan">
      <formula>0</formula>
    </cfRule>
  </conditionalFormatting>
  <conditionalFormatting sqref="G67:G74 G1:G65 G124 G135:G137 G326:G1048576 G315:G321 G150:G164 G105:G111">
    <cfRule type="cellIs" dxfId="13" priority="13" operator="lessThan">
      <formula>0</formula>
    </cfRule>
  </conditionalFormatting>
  <pageMargins left="0.7" right="0.7" top="0.75" bottom="0.75" header="0.3" footer="0.3"/>
  <pageSetup orientation="portrait" r:id="rId1"/>
  <ignoredErrors>
    <ignoredError sqref="N10" formulaRange="1"/>
    <ignoredError sqref="T22 T34 T41 T44:T45 T121:T122 T124 T5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37"/>
  <sheetViews>
    <sheetView tabSelected="1" topLeftCell="A43" zoomScale="80" zoomScaleNormal="80" workbookViewId="0">
      <selection activeCell="H69" sqref="H69"/>
    </sheetView>
  </sheetViews>
  <sheetFormatPr defaultRowHeight="15"/>
  <cols>
    <col min="1" max="1" width="16.140625" bestFit="1" customWidth="1"/>
    <col min="2" max="2" width="11.85546875" customWidth="1"/>
    <col min="3" max="3" width="17.7109375" bestFit="1" customWidth="1"/>
    <col min="4" max="4" width="17.28515625" bestFit="1" customWidth="1"/>
    <col min="5" max="5" width="31.5703125" bestFit="1"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9.85546875"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8.42578125" customWidth="1"/>
    <col min="19" max="19" width="23.5703125" bestFit="1" customWidth="1"/>
    <col min="20" max="20" width="15.85546875" bestFit="1" customWidth="1"/>
    <col min="21" max="21" width="23.5703125"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54" t="s">
        <v>5712</v>
      </c>
      <c r="B1" s="354" t="s">
        <v>4358</v>
      </c>
      <c r="C1" s="290">
        <v>16940</v>
      </c>
      <c r="D1" s="354">
        <v>3336</v>
      </c>
      <c r="E1" s="344" t="s">
        <v>4354</v>
      </c>
      <c r="F1" s="343">
        <f>13604/$S$1</f>
        <v>171.46458280816736</v>
      </c>
      <c r="G1" s="344">
        <f t="shared" ref="G1:G9" si="0">C1*D1*0.99114/(F1*1.0037158)</f>
        <v>325453.73781048105</v>
      </c>
      <c r="H1" s="344">
        <f t="shared" ref="H1:H25" si="1">C1/F1</f>
        <v>98.795912966774495</v>
      </c>
      <c r="I1" s="345">
        <f>$S$41/$S$42</f>
        <v>83.568181818181813</v>
      </c>
      <c r="J1" s="355">
        <f t="shared" ref="J1:J39" si="2">I1/H1</f>
        <v>0.84586679052488911</v>
      </c>
      <c r="K1" s="32">
        <f t="shared" ref="K1:K39" si="3">(1/J1-1.0256)*100</f>
        <v>15.661924681481576</v>
      </c>
      <c r="L1" s="355"/>
      <c r="M1" s="355"/>
      <c r="N1" s="355">
        <v>1</v>
      </c>
      <c r="O1" s="40"/>
      <c r="P1" s="40" t="s">
        <v>6398</v>
      </c>
      <c r="Q1" t="s">
        <v>6947</v>
      </c>
      <c r="R1">
        <f>P2/Q2</f>
        <v>0.15317460317460319</v>
      </c>
      <c r="S1" s="94">
        <v>79.34</v>
      </c>
      <c r="T1" s="94"/>
      <c r="U1" s="94"/>
      <c r="V1" s="94"/>
      <c r="W1" s="94"/>
      <c r="X1" s="113"/>
      <c r="Y1" s="113"/>
      <c r="Z1" s="113"/>
      <c r="AA1" s="94"/>
      <c r="AB1" s="94"/>
      <c r="AC1" s="94"/>
    </row>
    <row r="2" spans="1:29">
      <c r="A2" s="354" t="s">
        <v>5720</v>
      </c>
      <c r="B2" s="354" t="s">
        <v>4358</v>
      </c>
      <c r="C2" s="290">
        <v>19359</v>
      </c>
      <c r="D2" s="354">
        <v>3498</v>
      </c>
      <c r="E2" s="344" t="s">
        <v>4354</v>
      </c>
      <c r="F2" s="343">
        <f>14680/$S$1</f>
        <v>185.02646836400302</v>
      </c>
      <c r="G2" s="344">
        <f t="shared" si="0"/>
        <v>361404.12768271239</v>
      </c>
      <c r="H2" s="344">
        <f t="shared" si="1"/>
        <v>104.62827384196186</v>
      </c>
      <c r="I2" s="345">
        <f>$S$41/$S$42</f>
        <v>83.568181818181813</v>
      </c>
      <c r="J2" s="355">
        <f t="shared" si="2"/>
        <v>0.7987150963076125</v>
      </c>
      <c r="K2" s="32">
        <f t="shared" si="3"/>
        <v>22.641089177218433</v>
      </c>
      <c r="L2" s="355" t="s">
        <v>25</v>
      </c>
      <c r="M2" s="355"/>
      <c r="N2" s="355">
        <f>H2/H1</f>
        <v>1.0590344347255418</v>
      </c>
      <c r="O2" s="40"/>
      <c r="P2" s="40">
        <v>193</v>
      </c>
      <c r="Q2" s="112">
        <f>S38</f>
        <v>1260</v>
      </c>
      <c r="R2" t="s">
        <v>6952</v>
      </c>
      <c r="S2" s="94" t="s">
        <v>6953</v>
      </c>
      <c r="T2" s="112"/>
      <c r="U2" s="94"/>
      <c r="V2" s="94"/>
      <c r="W2" s="94"/>
      <c r="X2" s="113"/>
      <c r="Y2" s="113"/>
      <c r="Z2" s="113"/>
      <c r="AA2" s="94"/>
      <c r="AB2" s="94"/>
      <c r="AC2" s="94"/>
    </row>
    <row r="3" spans="1:29">
      <c r="A3" s="354" t="s">
        <v>5720</v>
      </c>
      <c r="B3" s="354" t="s">
        <v>4358</v>
      </c>
      <c r="C3" s="290">
        <v>19359</v>
      </c>
      <c r="D3" s="354">
        <v>3611</v>
      </c>
      <c r="E3" s="344" t="s">
        <v>4354</v>
      </c>
      <c r="F3" s="343">
        <f>14544/$S$1</f>
        <v>183.3123266952357</v>
      </c>
      <c r="G3" s="344">
        <f t="shared" si="0"/>
        <v>376567.62685533863</v>
      </c>
      <c r="H3" s="344">
        <f t="shared" si="1"/>
        <v>105.60664603960396</v>
      </c>
      <c r="I3" s="345">
        <f>$S$41/$S$42</f>
        <v>83.568181818181813</v>
      </c>
      <c r="J3" s="355">
        <f t="shared" si="2"/>
        <v>0.79131555590585256</v>
      </c>
      <c r="K3" s="32">
        <f t="shared" si="3"/>
        <v>23.811836435751268</v>
      </c>
      <c r="L3" s="355"/>
      <c r="M3" s="355"/>
      <c r="N3" s="355">
        <f>H3/H2</f>
        <v>1.0093509350935093</v>
      </c>
      <c r="O3" s="40"/>
      <c r="P3" s="40"/>
      <c r="S3" s="113"/>
      <c r="T3" s="113"/>
      <c r="U3" s="113"/>
      <c r="V3" s="113"/>
      <c r="W3" s="113"/>
      <c r="X3" s="113"/>
      <c r="Y3" s="113"/>
      <c r="Z3" s="113"/>
      <c r="AA3" s="113"/>
      <c r="AB3" s="113"/>
      <c r="AC3" s="113"/>
    </row>
    <row r="4" spans="1:29" ht="19.5">
      <c r="A4" s="354" t="s">
        <v>5720</v>
      </c>
      <c r="B4" s="354" t="s">
        <v>4358</v>
      </c>
      <c r="C4" s="290">
        <v>19360.400000000001</v>
      </c>
      <c r="D4" s="354">
        <v>32968</v>
      </c>
      <c r="E4" s="349" t="s">
        <v>4216</v>
      </c>
      <c r="F4" s="346">
        <f>1216/(1+$R$1)</f>
        <v>1054.4803854094978</v>
      </c>
      <c r="G4" s="356">
        <f t="shared" si="0"/>
        <v>597712.94896580523</v>
      </c>
      <c r="H4" s="347">
        <f t="shared" si="1"/>
        <v>18.360132884294067</v>
      </c>
      <c r="I4" s="348">
        <f t="shared" ref="I4:I10" si="4">$S$41/$S$38</f>
        <v>14.591269841269842</v>
      </c>
      <c r="J4" s="32">
        <f t="shared" si="2"/>
        <v>0.79472572084441451</v>
      </c>
      <c r="K4" s="32">
        <f t="shared" si="3"/>
        <v>23.26957538325005</v>
      </c>
      <c r="L4" s="32"/>
      <c r="M4" s="32"/>
      <c r="N4" s="357">
        <v>1</v>
      </c>
      <c r="O4" s="40"/>
      <c r="P4">
        <v>1216</v>
      </c>
      <c r="S4" s="113"/>
      <c r="T4" s="113"/>
      <c r="U4" s="113"/>
      <c r="AA4" s="113"/>
      <c r="AB4" s="113"/>
      <c r="AC4" s="113"/>
    </row>
    <row r="5" spans="1:29" ht="19.5">
      <c r="A5" s="354" t="s">
        <v>5722</v>
      </c>
      <c r="B5" s="354" t="s">
        <v>4358</v>
      </c>
      <c r="C5" s="290">
        <v>19361</v>
      </c>
      <c r="D5" s="354">
        <v>7994</v>
      </c>
      <c r="E5" s="349" t="s">
        <v>4216</v>
      </c>
      <c r="F5" s="346">
        <f>1198/(1+$R$1)</f>
        <v>1038.8713007570545</v>
      </c>
      <c r="G5" s="356">
        <f t="shared" si="0"/>
        <v>147114.14189758978</v>
      </c>
      <c r="H5" s="347">
        <f t="shared" si="1"/>
        <v>18.636572197047986</v>
      </c>
      <c r="I5" s="348">
        <f t="shared" si="4"/>
        <v>14.591269841269842</v>
      </c>
      <c r="J5" s="32">
        <f t="shared" si="2"/>
        <v>0.78293742470415695</v>
      </c>
      <c r="K5" s="32">
        <f t="shared" si="3"/>
        <v>25.164128192985903</v>
      </c>
      <c r="L5" s="32"/>
      <c r="M5" s="32"/>
      <c r="N5" s="357">
        <f t="shared" ref="N5:N10" si="5">H5/H4</f>
        <v>1.0150564984739514</v>
      </c>
      <c r="O5" s="40"/>
      <c r="P5">
        <v>1198</v>
      </c>
      <c r="S5" s="113"/>
      <c r="T5" s="113"/>
      <c r="U5" s="113"/>
      <c r="AA5" s="113"/>
      <c r="AB5" s="113"/>
      <c r="AC5" s="113"/>
    </row>
    <row r="6" spans="1:29" ht="19.5">
      <c r="A6" s="354" t="s">
        <v>5723</v>
      </c>
      <c r="B6" s="354" t="s">
        <v>4358</v>
      </c>
      <c r="C6" s="290">
        <v>19361</v>
      </c>
      <c r="D6" s="354">
        <v>3244</v>
      </c>
      <c r="E6" s="349" t="s">
        <v>4216</v>
      </c>
      <c r="F6" s="346">
        <f>1188/(1+$R$1)</f>
        <v>1030.1995870612527</v>
      </c>
      <c r="G6" s="356">
        <f t="shared" si="0"/>
        <v>60202.080751041605</v>
      </c>
      <c r="H6" s="347">
        <f t="shared" si="1"/>
        <v>18.793445700390141</v>
      </c>
      <c r="I6" s="348">
        <f t="shared" si="4"/>
        <v>14.591269841269842</v>
      </c>
      <c r="J6" s="32">
        <f t="shared" si="2"/>
        <v>0.77640205388024908</v>
      </c>
      <c r="K6" s="32">
        <f t="shared" si="3"/>
        <v>26.239247117169295</v>
      </c>
      <c r="L6" s="32"/>
      <c r="M6" s="32"/>
      <c r="N6" s="357">
        <f t="shared" si="5"/>
        <v>1.0084175084175084</v>
      </c>
      <c r="O6" s="40"/>
      <c r="P6">
        <v>1188</v>
      </c>
      <c r="S6" s="113"/>
      <c r="T6" s="113"/>
      <c r="U6" s="113"/>
      <c r="X6" s="113"/>
      <c r="Y6" s="113"/>
      <c r="Z6" s="113"/>
      <c r="AA6" s="113"/>
      <c r="AB6" s="113"/>
      <c r="AC6" s="113"/>
    </row>
    <row r="7" spans="1:29" ht="19.5">
      <c r="A7" s="354" t="s">
        <v>5720</v>
      </c>
      <c r="B7" s="354" t="s">
        <v>4358</v>
      </c>
      <c r="C7" s="290">
        <v>19360.64</v>
      </c>
      <c r="D7" s="354">
        <v>19092</v>
      </c>
      <c r="E7" s="349" t="s">
        <v>4216</v>
      </c>
      <c r="F7" s="346">
        <f>1184/(1+$R$1)</f>
        <v>1026.7309015829319</v>
      </c>
      <c r="G7" s="356">
        <f t="shared" si="0"/>
        <v>355499.29595438979</v>
      </c>
      <c r="H7" s="347">
        <f t="shared" si="1"/>
        <v>18.856586443586444</v>
      </c>
      <c r="I7" s="348">
        <f t="shared" si="4"/>
        <v>14.591269841269842</v>
      </c>
      <c r="J7" s="32">
        <f t="shared" si="2"/>
        <v>0.77380229369312314</v>
      </c>
      <c r="K7" s="32">
        <f t="shared" si="3"/>
        <v>26.671976714272063</v>
      </c>
      <c r="L7" s="32"/>
      <c r="M7" s="32"/>
      <c r="N7" s="357">
        <f t="shared" si="5"/>
        <v>1.0033597214796535</v>
      </c>
      <c r="O7" s="40"/>
      <c r="P7">
        <v>1184</v>
      </c>
      <c r="S7" s="113"/>
      <c r="T7" s="113"/>
      <c r="U7" s="113"/>
      <c r="V7" s="113"/>
      <c r="W7" s="113"/>
      <c r="X7" s="113"/>
      <c r="Y7" s="113"/>
      <c r="Z7" s="113"/>
      <c r="AA7" s="113"/>
      <c r="AB7" s="113"/>
      <c r="AC7" s="113"/>
    </row>
    <row r="8" spans="1:29" ht="19.5">
      <c r="A8" s="354" t="s">
        <v>6405</v>
      </c>
      <c r="B8" s="354" t="s">
        <v>4358</v>
      </c>
      <c r="C8" s="290">
        <v>24630.9</v>
      </c>
      <c r="D8" s="354">
        <v>1137</v>
      </c>
      <c r="E8" s="349" t="s">
        <v>4216</v>
      </c>
      <c r="F8" s="346">
        <f>1628/(1+$R$1)</f>
        <v>1411.7549896765315</v>
      </c>
      <c r="G8" s="356">
        <f t="shared" si="0"/>
        <v>19588.701901254863</v>
      </c>
      <c r="H8" s="347">
        <f t="shared" si="1"/>
        <v>17.447007575757574</v>
      </c>
      <c r="I8" s="348">
        <f t="shared" si="4"/>
        <v>14.591269841269842</v>
      </c>
      <c r="J8" s="32">
        <f t="shared" si="2"/>
        <v>0.83631933888446586</v>
      </c>
      <c r="K8" s="32">
        <f t="shared" si="3"/>
        <v>17.011550424011656</v>
      </c>
      <c r="L8" s="32"/>
      <c r="M8" s="32"/>
      <c r="N8" s="357">
        <f t="shared" si="5"/>
        <v>0.92524739978543147</v>
      </c>
      <c r="O8" s="40"/>
      <c r="P8">
        <v>1628</v>
      </c>
      <c r="S8" s="113"/>
      <c r="T8" s="113"/>
      <c r="U8" s="113"/>
      <c r="V8" s="113"/>
      <c r="W8" s="113"/>
      <c r="Y8" t="s">
        <v>25</v>
      </c>
      <c r="AA8" s="113"/>
      <c r="AB8" s="113"/>
      <c r="AC8" s="113"/>
    </row>
    <row r="9" spans="1:29" ht="19.5">
      <c r="A9" s="354" t="s">
        <v>6419</v>
      </c>
      <c r="B9" s="354" t="s">
        <v>4358</v>
      </c>
      <c r="C9" s="290">
        <v>24498.3</v>
      </c>
      <c r="D9" s="354">
        <v>250</v>
      </c>
      <c r="E9" s="349" t="s">
        <v>4216</v>
      </c>
      <c r="F9" s="346">
        <f>1523/(1+$R$1)</f>
        <v>1320.7019958706126</v>
      </c>
      <c r="G9" s="356">
        <f t="shared" si="0"/>
        <v>4579.2606699650432</v>
      </c>
      <c r="H9" s="347">
        <f t="shared" si="1"/>
        <v>18.549453303317385</v>
      </c>
      <c r="I9" s="348">
        <f t="shared" si="4"/>
        <v>14.591269841269842</v>
      </c>
      <c r="J9" s="32">
        <f t="shared" si="2"/>
        <v>0.78661454883203152</v>
      </c>
      <c r="K9" s="32">
        <f t="shared" si="3"/>
        <v>24.567066424693529</v>
      </c>
      <c r="L9" s="32"/>
      <c r="M9" s="32"/>
      <c r="N9" s="357">
        <f t="shared" si="5"/>
        <v>1.0631882414662126</v>
      </c>
      <c r="O9" s="40"/>
      <c r="P9">
        <v>1523</v>
      </c>
      <c r="S9" s="113"/>
      <c r="T9" s="113"/>
      <c r="U9" s="113"/>
    </row>
    <row r="10" spans="1:29" ht="19.5">
      <c r="A10" s="354" t="s">
        <v>6421</v>
      </c>
      <c r="B10" s="354" t="s">
        <v>4358</v>
      </c>
      <c r="C10" s="290">
        <v>25196.5</v>
      </c>
      <c r="D10" s="354">
        <v>613</v>
      </c>
      <c r="E10" s="349" t="s">
        <v>4216</v>
      </c>
      <c r="F10" s="346">
        <f>1542.2/(1+$R$1)</f>
        <v>1337.3516861665521</v>
      </c>
      <c r="G10" s="444">
        <f>C10*D10*0.9912/(F10*1.003631981)</f>
        <v>11406.223165811876</v>
      </c>
      <c r="H10" s="347">
        <f t="shared" si="1"/>
        <v>18.840593884638107</v>
      </c>
      <c r="I10" s="348">
        <f t="shared" si="4"/>
        <v>14.591269841269842</v>
      </c>
      <c r="J10" s="32">
        <f t="shared" si="2"/>
        <v>0.77445912430430341</v>
      </c>
      <c r="K10" s="32">
        <f t="shared" si="3"/>
        <v>26.562373101136849</v>
      </c>
      <c r="L10" s="32"/>
      <c r="M10" s="32"/>
      <c r="N10" s="357">
        <f t="shared" si="5"/>
        <v>1.0156953726107203</v>
      </c>
      <c r="O10" s="40"/>
      <c r="P10">
        <v>1542.2</v>
      </c>
    </row>
    <row r="11" spans="1:29">
      <c r="A11" s="344" t="s">
        <v>5754</v>
      </c>
      <c r="B11" s="344" t="s">
        <v>4354</v>
      </c>
      <c r="C11" s="343">
        <f>11988/$S$1</f>
        <v>151.09654650869675</v>
      </c>
      <c r="D11" s="344">
        <f>667*$S$1</f>
        <v>52919.78</v>
      </c>
      <c r="E11" s="349" t="s">
        <v>4216</v>
      </c>
      <c r="F11" s="346">
        <f>1163/(1+$R$1)</f>
        <v>1008.5203028217481</v>
      </c>
      <c r="G11" s="349">
        <f t="shared" ref="G11:G25" si="6">C11*D11*0.99114/(F11*1.0037158)</f>
        <v>7829.1058636246717</v>
      </c>
      <c r="H11" s="349">
        <f t="shared" si="1"/>
        <v>0.14982003444644826</v>
      </c>
      <c r="I11" s="348">
        <f t="shared" ref="I11:I25" si="7">$S$42/$S$38</f>
        <v>0.17460317460317459</v>
      </c>
      <c r="J11" s="355">
        <f t="shared" si="2"/>
        <v>1.1654193996703748</v>
      </c>
      <c r="K11" s="355">
        <f t="shared" si="3"/>
        <v>-16.753980271579639</v>
      </c>
      <c r="L11" s="355"/>
      <c r="M11" s="355"/>
      <c r="N11" s="355">
        <v>1</v>
      </c>
      <c r="O11" s="40"/>
      <c r="P11">
        <v>1163</v>
      </c>
    </row>
    <row r="12" spans="1:29">
      <c r="A12" s="344" t="s">
        <v>5756</v>
      </c>
      <c r="B12" s="344" t="s">
        <v>4354</v>
      </c>
      <c r="C12" s="343">
        <f>11872/$S$1</f>
        <v>149.63448449710108</v>
      </c>
      <c r="D12" s="344">
        <f>1116*$S$1</f>
        <v>88543.44</v>
      </c>
      <c r="E12" s="349" t="s">
        <v>4216</v>
      </c>
      <c r="F12" s="346">
        <f>1142/(1+$R$1)</f>
        <v>990.3097040605644</v>
      </c>
      <c r="G12" s="349">
        <f t="shared" si="6"/>
        <v>13211.170293828496</v>
      </c>
      <c r="H12" s="349">
        <f t="shared" si="1"/>
        <v>0.15109867537756641</v>
      </c>
      <c r="I12" s="348">
        <f t="shared" si="7"/>
        <v>0.17460317460317459</v>
      </c>
      <c r="J12" s="355">
        <f t="shared" si="2"/>
        <v>1.1555572818019415</v>
      </c>
      <c r="K12" s="355">
        <f t="shared" si="3"/>
        <v>-16.02166773830287</v>
      </c>
      <c r="L12" s="355"/>
      <c r="M12" s="355"/>
      <c r="N12" s="355">
        <f t="shared" ref="N12:N20" si="8">H12/H11</f>
        <v>1.008534512329025</v>
      </c>
      <c r="O12" s="40"/>
      <c r="P12">
        <v>1142</v>
      </c>
    </row>
    <row r="13" spans="1:29">
      <c r="A13" s="344" t="s">
        <v>5757</v>
      </c>
      <c r="B13" s="344" t="s">
        <v>4354</v>
      </c>
      <c r="C13" s="343">
        <f>11872/$S$1</f>
        <v>149.63448449710108</v>
      </c>
      <c r="D13" s="344">
        <f>1116*$S$1</f>
        <v>88543.44</v>
      </c>
      <c r="E13" s="349" t="s">
        <v>4216</v>
      </c>
      <c r="F13" s="346">
        <f>1131/(1+$R$1)</f>
        <v>980.77081899518248</v>
      </c>
      <c r="G13" s="349">
        <f t="shared" si="6"/>
        <v>13339.660897924088</v>
      </c>
      <c r="H13" s="349">
        <f t="shared" si="1"/>
        <v>0.15256824693296273</v>
      </c>
      <c r="I13" s="348">
        <f t="shared" si="7"/>
        <v>0.17460317460317459</v>
      </c>
      <c r="J13" s="355">
        <f t="shared" si="2"/>
        <v>1.1444266950245148</v>
      </c>
      <c r="K13" s="355">
        <f t="shared" si="3"/>
        <v>-15.180004029303173</v>
      </c>
      <c r="L13" s="355"/>
      <c r="M13" s="355"/>
      <c r="N13" s="355">
        <f t="shared" si="8"/>
        <v>1.0097259062776305</v>
      </c>
      <c r="O13" s="40"/>
      <c r="P13">
        <v>1131</v>
      </c>
    </row>
    <row r="14" spans="1:29">
      <c r="A14" s="344" t="s">
        <v>5759</v>
      </c>
      <c r="B14" s="344" t="s">
        <v>4354</v>
      </c>
      <c r="C14" s="343">
        <f>11380/$S$1</f>
        <v>143.43332493067808</v>
      </c>
      <c r="D14" s="344">
        <f>1116*$S$1</f>
        <v>88543.44</v>
      </c>
      <c r="E14" s="349" t="s">
        <v>4216</v>
      </c>
      <c r="F14" s="346">
        <f>1070/(1+$R$1)</f>
        <v>927.87336545079154</v>
      </c>
      <c r="G14" s="349">
        <f t="shared" si="6"/>
        <v>13515.807294299899</v>
      </c>
      <c r="H14" s="349">
        <f t="shared" si="1"/>
        <v>0.15458286687752207</v>
      </c>
      <c r="I14" s="348">
        <f t="shared" si="7"/>
        <v>0.17460317460317459</v>
      </c>
      <c r="J14" s="355">
        <f t="shared" si="2"/>
        <v>1.1295118154427479</v>
      </c>
      <c r="K14" s="355">
        <f t="shared" si="3"/>
        <v>-14.026176242873722</v>
      </c>
      <c r="L14" s="355"/>
      <c r="M14" s="355"/>
      <c r="N14" s="355">
        <f t="shared" si="8"/>
        <v>1.013204713202509</v>
      </c>
      <c r="O14" s="40"/>
      <c r="P14">
        <v>1070</v>
      </c>
    </row>
    <row r="15" spans="1:29">
      <c r="A15" s="358" t="s">
        <v>5759</v>
      </c>
      <c r="B15" s="344" t="s">
        <v>4354</v>
      </c>
      <c r="C15" s="343">
        <f>11425/$S$1</f>
        <v>144.00050415931435</v>
      </c>
      <c r="D15" s="344">
        <f>1116*$S$1</f>
        <v>88543.44</v>
      </c>
      <c r="E15" s="349" t="s">
        <v>4216</v>
      </c>
      <c r="F15" s="346">
        <f>1083/(1+$R$1)</f>
        <v>939.14659325533387</v>
      </c>
      <c r="G15" s="349">
        <f t="shared" si="6"/>
        <v>13406.371777039361</v>
      </c>
      <c r="H15" s="349">
        <f t="shared" si="1"/>
        <v>0.15333123198602042</v>
      </c>
      <c r="I15" s="348">
        <f t="shared" si="7"/>
        <v>0.17460317460317459</v>
      </c>
      <c r="J15" s="355">
        <f t="shared" si="2"/>
        <v>1.1387319617903651</v>
      </c>
      <c r="K15" s="355">
        <f t="shared" si="3"/>
        <v>-14.74302168073377</v>
      </c>
      <c r="L15" s="355"/>
      <c r="M15" s="355" t="s">
        <v>25</v>
      </c>
      <c r="N15" s="355">
        <f t="shared" si="8"/>
        <v>0.99190314608090857</v>
      </c>
      <c r="O15" s="40"/>
      <c r="P15">
        <v>1083</v>
      </c>
    </row>
    <row r="16" spans="1:29">
      <c r="A16" s="358" t="s">
        <v>5760</v>
      </c>
      <c r="B16" s="344" t="s">
        <v>4354</v>
      </c>
      <c r="C16" s="343">
        <f>11446/$S$1</f>
        <v>144.26518779934457</v>
      </c>
      <c r="D16" s="344">
        <f>1763*$S$1</f>
        <v>139876.42000000001</v>
      </c>
      <c r="E16" s="349" t="s">
        <v>4216</v>
      </c>
      <c r="F16" s="346">
        <f>1058/(1+$R$1)</f>
        <v>917.46730901582941</v>
      </c>
      <c r="G16" s="349">
        <f t="shared" si="6"/>
        <v>21718.993645995772</v>
      </c>
      <c r="H16" s="349">
        <f t="shared" si="1"/>
        <v>0.15724286454859995</v>
      </c>
      <c r="I16" s="348">
        <f t="shared" si="7"/>
        <v>0.17460317460317459</v>
      </c>
      <c r="J16" s="355">
        <f t="shared" si="2"/>
        <v>1.11040443777472</v>
      </c>
      <c r="K16" s="355">
        <f t="shared" si="3"/>
        <v>-12.50272303125638</v>
      </c>
      <c r="L16" s="355"/>
      <c r="M16" s="355"/>
      <c r="N16" s="355">
        <f t="shared" si="8"/>
        <v>1.0255109967611566</v>
      </c>
      <c r="O16" s="40"/>
      <c r="P16">
        <v>1058</v>
      </c>
    </row>
    <row r="17" spans="1:26">
      <c r="A17" s="358" t="s">
        <v>5767</v>
      </c>
      <c r="B17" s="344" t="s">
        <v>4354</v>
      </c>
      <c r="C17" s="343">
        <f>11450/$S$1</f>
        <v>144.31560373077892</v>
      </c>
      <c r="D17" s="344">
        <f>1058*$S$1</f>
        <v>83941.72</v>
      </c>
      <c r="E17" s="349" t="s">
        <v>4216</v>
      </c>
      <c r="F17" s="346">
        <f>1038/(1+$R$1)</f>
        <v>900.12388162422587</v>
      </c>
      <c r="G17" s="349">
        <f t="shared" si="6"/>
        <v>13289.636828281802</v>
      </c>
      <c r="H17" s="349">
        <f t="shared" si="1"/>
        <v>0.1603286021812565</v>
      </c>
      <c r="I17" s="348">
        <f t="shared" si="7"/>
        <v>0.17460317460317459</v>
      </c>
      <c r="J17" s="355">
        <f t="shared" si="2"/>
        <v>1.0890332244385206</v>
      </c>
      <c r="K17" s="355">
        <f t="shared" si="3"/>
        <v>-10.7354369325531</v>
      </c>
      <c r="L17" s="355"/>
      <c r="M17" s="355"/>
      <c r="N17" s="355">
        <f t="shared" si="8"/>
        <v>1.019624023268177</v>
      </c>
      <c r="O17" s="40"/>
      <c r="P17">
        <v>1038</v>
      </c>
    </row>
    <row r="18" spans="1:26">
      <c r="A18" s="358" t="s">
        <v>5771</v>
      </c>
      <c r="B18" s="344" t="s">
        <v>4354</v>
      </c>
      <c r="C18" s="343">
        <f>11455/$S$1</f>
        <v>144.37862364507183</v>
      </c>
      <c r="D18" s="344">
        <f>1839*$S$1</f>
        <v>145906.26</v>
      </c>
      <c r="E18" s="349" t="s">
        <v>4216</v>
      </c>
      <c r="F18" s="346">
        <f>1019/(1+$R$1)</f>
        <v>883.64762560220242</v>
      </c>
      <c r="G18" s="349">
        <f t="shared" si="6"/>
        <v>23540.839743825272</v>
      </c>
      <c r="H18" s="349">
        <f t="shared" si="1"/>
        <v>0.16338936411069782</v>
      </c>
      <c r="I18" s="348">
        <f t="shared" si="7"/>
        <v>0.17460317460317459</v>
      </c>
      <c r="J18" s="355">
        <f t="shared" si="2"/>
        <v>1.0686324385526056</v>
      </c>
      <c r="K18" s="355">
        <f t="shared" si="3"/>
        <v>-8.982455100236697</v>
      </c>
      <c r="L18" s="355"/>
      <c r="M18" s="355"/>
      <c r="N18" s="355">
        <f t="shared" si="8"/>
        <v>1.0190905545722968</v>
      </c>
      <c r="O18" s="40"/>
      <c r="P18">
        <v>1019</v>
      </c>
    </row>
    <row r="19" spans="1:26">
      <c r="A19" s="358" t="s">
        <v>5771</v>
      </c>
      <c r="B19" s="344" t="s">
        <v>4354</v>
      </c>
      <c r="C19" s="343">
        <f>11565/$S$1</f>
        <v>145.76506175951599</v>
      </c>
      <c r="D19" s="344">
        <f>3348*$S$1</f>
        <v>265630.32</v>
      </c>
      <c r="E19" s="349" t="s">
        <v>4216</v>
      </c>
      <c r="F19" s="346">
        <f>1021/(1+$R$1)</f>
        <v>885.38196834136272</v>
      </c>
      <c r="G19" s="349">
        <f t="shared" si="6"/>
        <v>43184.177910714745</v>
      </c>
      <c r="H19" s="349">
        <f t="shared" si="1"/>
        <v>0.16463522747429124</v>
      </c>
      <c r="I19" s="348">
        <f t="shared" si="7"/>
        <v>0.17460317460317459</v>
      </c>
      <c r="J19" s="355">
        <f t="shared" si="2"/>
        <v>1.0605456516312095</v>
      </c>
      <c r="K19" s="355">
        <f t="shared" si="3"/>
        <v>-8.2689151738150279</v>
      </c>
      <c r="L19" s="355"/>
      <c r="M19" s="355"/>
      <c r="N19" s="355">
        <f t="shared" si="8"/>
        <v>1.0076251191157666</v>
      </c>
      <c r="O19" s="40"/>
      <c r="P19">
        <v>1021</v>
      </c>
    </row>
    <row r="20" spans="1:26">
      <c r="A20" s="358" t="s">
        <v>5408</v>
      </c>
      <c r="B20" s="344" t="s">
        <v>4354</v>
      </c>
      <c r="C20" s="343">
        <f>11401/$S$1</f>
        <v>143.69800857070834</v>
      </c>
      <c r="D20" s="344">
        <f>195*$S$1</f>
        <v>15471.300000000001</v>
      </c>
      <c r="E20" s="349" t="s">
        <v>4216</v>
      </c>
      <c r="F20" s="346">
        <f>988/(1+$R$1)</f>
        <v>856.76531314521685</v>
      </c>
      <c r="G20" s="349">
        <f t="shared" si="6"/>
        <v>2562.3586927106035</v>
      </c>
      <c r="H20" s="349">
        <f t="shared" si="1"/>
        <v>0.16772155264221386</v>
      </c>
      <c r="I20" s="348">
        <f t="shared" si="7"/>
        <v>0.17460317460317459</v>
      </c>
      <c r="J20" s="355">
        <f t="shared" si="2"/>
        <v>1.0410300396851244</v>
      </c>
      <c r="K20" s="355">
        <f t="shared" si="3"/>
        <v>-6.5012925776411485</v>
      </c>
      <c r="L20" s="355"/>
      <c r="M20" s="355"/>
      <c r="N20" s="355">
        <f t="shared" si="8"/>
        <v>1.0187464445809726</v>
      </c>
      <c r="O20" s="40"/>
      <c r="P20">
        <v>988</v>
      </c>
      <c r="R20" s="318" t="s">
        <v>6886</v>
      </c>
      <c r="S20" s="318"/>
      <c r="T20" s="113"/>
      <c r="U20" s="113"/>
    </row>
    <row r="21" spans="1:26">
      <c r="A21" s="358" t="s">
        <v>5807</v>
      </c>
      <c r="B21" s="344" t="s">
        <v>4354</v>
      </c>
      <c r="C21" s="343">
        <f>14504/$S$1</f>
        <v>182.80816738089234</v>
      </c>
      <c r="D21" s="344">
        <f>6127*$S$1</f>
        <v>486116.18</v>
      </c>
      <c r="E21" s="349" t="s">
        <v>4216</v>
      </c>
      <c r="F21" s="346">
        <f>1179.1/(1+$R$1)</f>
        <v>1022.481761871989</v>
      </c>
      <c r="G21" s="349">
        <f t="shared" si="6"/>
        <v>85823.128968479476</v>
      </c>
      <c r="H21" s="349">
        <f t="shared" si="1"/>
        <v>0.17878868278902296</v>
      </c>
      <c r="I21" s="348">
        <f t="shared" si="7"/>
        <v>0.17460317460317459</v>
      </c>
      <c r="J21" s="355">
        <f t="shared" si="2"/>
        <v>0.97658963576130031</v>
      </c>
      <c r="K21" s="355">
        <f t="shared" si="3"/>
        <v>-0.16284531174139971</v>
      </c>
      <c r="L21" s="355"/>
      <c r="M21" s="355"/>
      <c r="N21" s="355">
        <f>H21/H20</f>
        <v>1.065985140087617</v>
      </c>
      <c r="O21" s="40"/>
      <c r="P21">
        <v>1179.0999999999999</v>
      </c>
      <c r="R21" s="113"/>
      <c r="S21" s="113"/>
    </row>
    <row r="22" spans="1:26">
      <c r="A22" s="358" t="s">
        <v>6246</v>
      </c>
      <c r="B22" s="344" t="s">
        <v>4354</v>
      </c>
      <c r="C22" s="343">
        <f>14171/$S$1</f>
        <v>178.61104108898411</v>
      </c>
      <c r="D22" s="344">
        <f>2105*$S$1</f>
        <v>167010.70000000001</v>
      </c>
      <c r="E22" s="349" t="s">
        <v>4216</v>
      </c>
      <c r="F22" s="346">
        <f>1155/(1+$R$1)</f>
        <v>1001.5829318651067</v>
      </c>
      <c r="G22" s="349">
        <f t="shared" si="6"/>
        <v>29409.654740564773</v>
      </c>
      <c r="H22" s="349">
        <f t="shared" si="1"/>
        <v>0.17832875881419219</v>
      </c>
      <c r="I22" s="348">
        <f t="shared" si="7"/>
        <v>0.17460317460317459</v>
      </c>
      <c r="J22" s="355">
        <f t="shared" si="2"/>
        <v>0.97910833768041061</v>
      </c>
      <c r="K22" s="355">
        <f t="shared" si="3"/>
        <v>-0.42625631550810006</v>
      </c>
      <c r="L22" s="355"/>
      <c r="M22" s="355"/>
      <c r="N22" s="355">
        <f>H22/H21</f>
        <v>0.99742755543775941</v>
      </c>
      <c r="O22" s="40"/>
      <c r="P22">
        <v>1155</v>
      </c>
    </row>
    <row r="23" spans="1:26">
      <c r="A23" s="358" t="s">
        <v>6261</v>
      </c>
      <c r="B23" s="344" t="s">
        <v>4354</v>
      </c>
      <c r="C23" s="343">
        <f>15584/$S$1</f>
        <v>196.42046886816232</v>
      </c>
      <c r="D23" s="344">
        <f>4776*$S$1</f>
        <v>378927.84</v>
      </c>
      <c r="E23" s="349" t="s">
        <v>4216</v>
      </c>
      <c r="F23" s="346">
        <f>1253/(1+$R$1)</f>
        <v>1086.5657260839644</v>
      </c>
      <c r="G23" s="349">
        <f t="shared" si="6"/>
        <v>67641.230383782837</v>
      </c>
      <c r="H23" s="349">
        <f t="shared" si="1"/>
        <v>0.18077182461485439</v>
      </c>
      <c r="I23" s="348">
        <f t="shared" si="7"/>
        <v>0.17460317460317459</v>
      </c>
      <c r="J23" s="355">
        <f t="shared" si="2"/>
        <v>0.96587604276926187</v>
      </c>
      <c r="K23" s="355">
        <f t="shared" si="3"/>
        <v>0.97295409759841078</v>
      </c>
      <c r="L23" s="355"/>
      <c r="M23" s="355"/>
      <c r="N23" s="355">
        <f>H23/H22</f>
        <v>1.0136997858164185</v>
      </c>
      <c r="O23" s="40"/>
      <c r="P23">
        <v>1253</v>
      </c>
    </row>
    <row r="24" spans="1:26">
      <c r="A24" s="358" t="s">
        <v>6269</v>
      </c>
      <c r="B24" s="344" t="s">
        <v>4354</v>
      </c>
      <c r="C24" s="343">
        <f>16011/$S$1</f>
        <v>201.80236954877739</v>
      </c>
      <c r="D24" s="344">
        <f>1472*$S$1</f>
        <v>116788.48000000001</v>
      </c>
      <c r="E24" s="349" t="s">
        <v>4216</v>
      </c>
      <c r="F24" s="346">
        <f>1275/(1+$R$1)</f>
        <v>1105.6434962147282</v>
      </c>
      <c r="G24" s="349">
        <f t="shared" si="6"/>
        <v>21049.190317983161</v>
      </c>
      <c r="H24" s="349">
        <f t="shared" si="1"/>
        <v>0.1825202881757694</v>
      </c>
      <c r="I24" s="348">
        <f t="shared" si="7"/>
        <v>0.17460317460317459</v>
      </c>
      <c r="J24" s="355">
        <f t="shared" si="2"/>
        <v>0.95662337786268159</v>
      </c>
      <c r="K24" s="355">
        <f t="shared" si="3"/>
        <v>1.9743468643042883</v>
      </c>
      <c r="L24" s="355"/>
      <c r="M24" s="355"/>
      <c r="N24" s="355">
        <f>H24/H23</f>
        <v>1.0096722128276363</v>
      </c>
      <c r="O24" s="40"/>
      <c r="P24">
        <v>1275</v>
      </c>
      <c r="Z24" s="319"/>
    </row>
    <row r="25" spans="1:26">
      <c r="A25" s="358" t="s">
        <v>6763</v>
      </c>
      <c r="B25" s="344" t="s">
        <v>4354</v>
      </c>
      <c r="C25" s="343">
        <f>18890/$S$1</f>
        <v>238.08923619863876</v>
      </c>
      <c r="D25" s="344">
        <f>403*$S$1</f>
        <v>31974.02</v>
      </c>
      <c r="E25" s="349" t="s">
        <v>4216</v>
      </c>
      <c r="F25" s="346">
        <f>1504.9/(1+$R$1)</f>
        <v>1305.0061940812116</v>
      </c>
      <c r="G25" s="349">
        <f t="shared" si="6"/>
        <v>5760.3473726202528</v>
      </c>
      <c r="H25" s="349">
        <f t="shared" si="1"/>
        <v>0.18244299320453822</v>
      </c>
      <c r="I25" s="348">
        <f t="shared" si="7"/>
        <v>0.17460317460317459</v>
      </c>
      <c r="J25" s="355">
        <f t="shared" si="2"/>
        <v>0.9570286670720517</v>
      </c>
      <c r="K25" s="355">
        <f t="shared" si="3"/>
        <v>1.9300779262355183</v>
      </c>
      <c r="L25" s="355"/>
      <c r="M25" s="355"/>
      <c r="N25" s="355">
        <f>H25/H24</f>
        <v>0.99957651298930261</v>
      </c>
      <c r="O25" s="40"/>
      <c r="P25">
        <v>1504.9</v>
      </c>
      <c r="R25" s="97">
        <v>54712</v>
      </c>
      <c r="S25" s="97">
        <v>181001</v>
      </c>
      <c r="Z25" s="319"/>
    </row>
    <row r="26" spans="1:26">
      <c r="A26" s="359" t="s">
        <v>6254</v>
      </c>
      <c r="B26" s="349" t="s">
        <v>4216</v>
      </c>
      <c r="C26" s="346">
        <f>1205/(1+$R$1)</f>
        <v>1044.9415003441156</v>
      </c>
      <c r="D26" s="349">
        <f>11869*(1+$R$1)</f>
        <v>13687.029365079365</v>
      </c>
      <c r="E26" s="351" t="s">
        <v>5261</v>
      </c>
      <c r="F26" s="350">
        <v>447.43299999999999</v>
      </c>
      <c r="G26" s="351">
        <f t="shared" ref="G26:G35" si="9">C26*D26*0.99114/(F26*1.0037158)</f>
        <v>31564.390507451786</v>
      </c>
      <c r="H26" s="351">
        <f t="shared" ref="H26:H35" si="10">C26/F26</f>
        <v>2.3354144650575965</v>
      </c>
      <c r="I26" s="352">
        <f t="shared" ref="I26:I56" si="11">$S$38/$S$39</f>
        <v>3.0215827338129495</v>
      </c>
      <c r="J26" s="355">
        <f t="shared" si="2"/>
        <v>1.2938100619919002</v>
      </c>
      <c r="K26" s="355">
        <f t="shared" si="3"/>
        <v>-25.26890222785574</v>
      </c>
      <c r="L26" s="355"/>
      <c r="M26" s="355"/>
      <c r="N26" s="355">
        <f>1</f>
        <v>1</v>
      </c>
      <c r="O26" s="360">
        <f t="shared" ref="O26:O39" si="12">F26-C26</f>
        <v>-597.50850034411565</v>
      </c>
      <c r="P26">
        <v>1205</v>
      </c>
      <c r="Q26">
        <v>11869</v>
      </c>
      <c r="R26" s="97">
        <f>R25*S26/S25</f>
        <v>21451.519626963385</v>
      </c>
      <c r="S26" s="97">
        <v>70967</v>
      </c>
      <c r="T26" s="113"/>
      <c r="Z26" s="319"/>
    </row>
    <row r="27" spans="1:26">
      <c r="A27" s="359" t="s">
        <v>6257</v>
      </c>
      <c r="B27" s="349" t="s">
        <v>4216</v>
      </c>
      <c r="C27" s="346">
        <f>1225/(1+$R$1)</f>
        <v>1062.2849277357193</v>
      </c>
      <c r="D27" s="349">
        <f>54062*(1+$R$1)</f>
        <v>62342.925396825391</v>
      </c>
      <c r="E27" s="351" t="s">
        <v>5261</v>
      </c>
      <c r="F27" s="350">
        <v>450.66300000000001</v>
      </c>
      <c r="G27" s="351">
        <f t="shared" si="9"/>
        <v>145111.06730349615</v>
      </c>
      <c r="H27" s="351">
        <f t="shared" si="10"/>
        <v>2.3571602899188955</v>
      </c>
      <c r="I27" s="352">
        <f t="shared" si="11"/>
        <v>3.0215827338129495</v>
      </c>
      <c r="J27" s="355">
        <f t="shared" si="2"/>
        <v>1.2818741036558507</v>
      </c>
      <c r="K27" s="355">
        <f t="shared" si="3"/>
        <v>-24.549218976493702</v>
      </c>
      <c r="L27" s="355"/>
      <c r="M27" s="355"/>
      <c r="N27" s="355">
        <f t="shared" ref="N27:N39" si="13">H27/H26</f>
        <v>1.0093113343205924</v>
      </c>
      <c r="O27" s="360">
        <f t="shared" si="12"/>
        <v>-611.62192773571928</v>
      </c>
      <c r="P27">
        <v>1225</v>
      </c>
      <c r="Q27">
        <v>54062</v>
      </c>
      <c r="R27" s="97">
        <f>R25-R26</f>
        <v>33260.480373036611</v>
      </c>
      <c r="S27" s="97">
        <f>S25-S26</f>
        <v>110034</v>
      </c>
      <c r="T27" s="113"/>
      <c r="V27" t="s">
        <v>25</v>
      </c>
      <c r="Y27" s="319"/>
    </row>
    <row r="28" spans="1:26">
      <c r="A28" s="359" t="s">
        <v>6259</v>
      </c>
      <c r="B28" s="349" t="s">
        <v>4216</v>
      </c>
      <c r="C28" s="346">
        <f>1299.2/(1+$R$1)</f>
        <v>1126.6290433585687</v>
      </c>
      <c r="D28" s="349">
        <f>183853*(1+$R$1)</f>
        <v>212014.61031746029</v>
      </c>
      <c r="E28" s="351" t="s">
        <v>5261</v>
      </c>
      <c r="F28" s="350">
        <v>467.66699999999997</v>
      </c>
      <c r="G28" s="351">
        <f t="shared" si="9"/>
        <v>504352.58344984357</v>
      </c>
      <c r="H28" s="351">
        <f t="shared" si="10"/>
        <v>2.4090411411507948</v>
      </c>
      <c r="I28" s="352">
        <f t="shared" si="11"/>
        <v>3.0215827338129495</v>
      </c>
      <c r="J28" s="355">
        <f t="shared" si="2"/>
        <v>1.2542678006609487</v>
      </c>
      <c r="K28" s="355">
        <f t="shared" si="3"/>
        <v>-22.832209852390363</v>
      </c>
      <c r="L28" s="355"/>
      <c r="M28" s="355"/>
      <c r="N28" s="355">
        <f t="shared" si="13"/>
        <v>1.0220098953192889</v>
      </c>
      <c r="O28" s="360">
        <f t="shared" si="12"/>
        <v>-658.96204335856874</v>
      </c>
      <c r="P28">
        <v>1299.2</v>
      </c>
      <c r="Q28">
        <v>183853</v>
      </c>
      <c r="T28" s="113"/>
      <c r="Y28" s="319"/>
    </row>
    <row r="29" spans="1:26">
      <c r="A29" s="359" t="s">
        <v>6259</v>
      </c>
      <c r="B29" s="349" t="s">
        <v>4216</v>
      </c>
      <c r="C29" s="346">
        <f>1307/(1+$R$1)</f>
        <v>1133.3929800412939</v>
      </c>
      <c r="D29" s="349">
        <f>253107*(1+$R$1)</f>
        <v>291876.56428571424</v>
      </c>
      <c r="E29" s="351" t="s">
        <v>5261</v>
      </c>
      <c r="F29" s="350">
        <v>462.23329999999999</v>
      </c>
      <c r="G29" s="351">
        <f t="shared" si="9"/>
        <v>706712.47443523828</v>
      </c>
      <c r="H29" s="351">
        <f t="shared" si="10"/>
        <v>2.4519933549601336</v>
      </c>
      <c r="I29" s="352">
        <f t="shared" si="11"/>
        <v>3.0215827338129495</v>
      </c>
      <c r="J29" s="355">
        <f t="shared" si="2"/>
        <v>1.2322964610408076</v>
      </c>
      <c r="K29" s="355">
        <f t="shared" si="3"/>
        <v>-21.410696109652715</v>
      </c>
      <c r="L29" s="355"/>
      <c r="M29" s="355"/>
      <c r="N29" s="355">
        <f t="shared" si="13"/>
        <v>1.0178295891571285</v>
      </c>
      <c r="O29" s="360">
        <f t="shared" si="12"/>
        <v>-671.15968004129388</v>
      </c>
      <c r="P29">
        <v>1307</v>
      </c>
      <c r="Q29">
        <v>253107</v>
      </c>
      <c r="Y29" s="319"/>
    </row>
    <row r="30" spans="1:26" ht="18.75">
      <c r="A30" s="359" t="s">
        <v>955</v>
      </c>
      <c r="B30" s="349" t="s">
        <v>4216</v>
      </c>
      <c r="C30" s="346">
        <f>1526/(1+$R$1)</f>
        <v>1323.3035099793531</v>
      </c>
      <c r="D30" s="349">
        <f>10000*(1+$R$1)</f>
        <v>11531.74603174603</v>
      </c>
      <c r="E30" s="351" t="s">
        <v>5261</v>
      </c>
      <c r="F30" s="350">
        <v>538.94000000000005</v>
      </c>
      <c r="G30" s="351">
        <f t="shared" si="9"/>
        <v>27960.076704394505</v>
      </c>
      <c r="H30" s="372">
        <f t="shared" si="10"/>
        <v>2.4553818792061324</v>
      </c>
      <c r="I30" s="352">
        <f t="shared" si="11"/>
        <v>3.0215827338129495</v>
      </c>
      <c r="J30" s="355">
        <f t="shared" si="2"/>
        <v>1.2305958431158088</v>
      </c>
      <c r="K30" s="355">
        <f t="shared" si="3"/>
        <v>-21.298552092939904</v>
      </c>
      <c r="L30" s="355"/>
      <c r="M30" s="355"/>
      <c r="N30" s="355">
        <f t="shared" si="13"/>
        <v>1.0013819467492211</v>
      </c>
      <c r="O30" s="360">
        <f t="shared" si="12"/>
        <v>-784.36350997935301</v>
      </c>
      <c r="P30">
        <v>1526</v>
      </c>
      <c r="Q30">
        <v>10000</v>
      </c>
      <c r="V30" t="s">
        <v>25</v>
      </c>
      <c r="Y30" s="319"/>
    </row>
    <row r="31" spans="1:26" ht="18.75">
      <c r="A31" s="359" t="s">
        <v>6708</v>
      </c>
      <c r="B31" s="349" t="s">
        <v>4216</v>
      </c>
      <c r="C31" s="346">
        <f>1470/(1+$R$1)</f>
        <v>1274.7419132828632</v>
      </c>
      <c r="D31" s="349">
        <f>100000*(1+$R$1)</f>
        <v>115317.46031746031</v>
      </c>
      <c r="E31" s="351" t="s">
        <v>5261</v>
      </c>
      <c r="F31" s="350">
        <v>517.66700000000003</v>
      </c>
      <c r="G31" s="351">
        <f t="shared" si="9"/>
        <v>280408.45013521047</v>
      </c>
      <c r="H31" s="372">
        <f t="shared" si="10"/>
        <v>2.4624747439625532</v>
      </c>
      <c r="I31" s="352">
        <f t="shared" si="11"/>
        <v>3.0215827338129495</v>
      </c>
      <c r="J31" s="355">
        <f t="shared" si="2"/>
        <v>1.2270512585849687</v>
      </c>
      <c r="K31" s="355">
        <f t="shared" si="3"/>
        <v>-21.063812045048834</v>
      </c>
      <c r="L31" s="355"/>
      <c r="M31" s="355"/>
      <c r="N31" s="355">
        <f t="shared" si="13"/>
        <v>1.0028887012714756</v>
      </c>
      <c r="O31" s="360">
        <f t="shared" si="12"/>
        <v>-757.07491328286312</v>
      </c>
      <c r="P31">
        <v>1470</v>
      </c>
      <c r="Q31">
        <v>100000</v>
      </c>
      <c r="R31" t="s">
        <v>932</v>
      </c>
      <c r="S31" s="320">
        <v>1290</v>
      </c>
      <c r="T31" s="320">
        <f>S31/0.9912</f>
        <v>1301.4527845036321</v>
      </c>
      <c r="U31" s="320"/>
      <c r="V31" s="320">
        <f>T31/1.0127</f>
        <v>1285.1316130182997</v>
      </c>
      <c r="Y31" s="319"/>
    </row>
    <row r="32" spans="1:26" ht="18.75">
      <c r="A32" s="359" t="s">
        <v>6714</v>
      </c>
      <c r="B32" s="349" t="s">
        <v>4216</v>
      </c>
      <c r="C32" s="346">
        <f>1476.58/(1+$R$1)</f>
        <v>1280.4479008947008</v>
      </c>
      <c r="D32" s="349">
        <f>140000*(1+$R$1)</f>
        <v>161444.44444444444</v>
      </c>
      <c r="E32" s="351" t="s">
        <v>5261</v>
      </c>
      <c r="F32" s="350">
        <v>512.29600000000005</v>
      </c>
      <c r="G32" s="351">
        <f t="shared" si="9"/>
        <v>398463.27060757863</v>
      </c>
      <c r="H32" s="372">
        <f t="shared" si="10"/>
        <v>2.499429823568212</v>
      </c>
      <c r="I32" s="352">
        <f t="shared" si="11"/>
        <v>3.0215827338129495</v>
      </c>
      <c r="J32" s="355">
        <f t="shared" si="2"/>
        <v>1.2089088100498484</v>
      </c>
      <c r="K32" s="355">
        <f t="shared" si="3"/>
        <v>-19.840774886671085</v>
      </c>
      <c r="L32" s="355"/>
      <c r="M32" s="355"/>
      <c r="N32" s="355">
        <f t="shared" si="13"/>
        <v>1.0150072928448362</v>
      </c>
      <c r="O32" s="360">
        <f t="shared" si="12"/>
        <v>-768.1519008947007</v>
      </c>
      <c r="P32">
        <v>1476.58</v>
      </c>
      <c r="Q32">
        <v>140000</v>
      </c>
      <c r="R32" t="s">
        <v>61</v>
      </c>
      <c r="S32" s="320">
        <v>4045</v>
      </c>
      <c r="T32" s="320">
        <f>S32/1.003631981</f>
        <v>4030.3618025101573</v>
      </c>
      <c r="U32" s="320"/>
      <c r="V32" s="320">
        <f>T32*1.0127</f>
        <v>4081.547397402036</v>
      </c>
      <c r="Y32" s="319"/>
    </row>
    <row r="33" spans="1:25" ht="18.75">
      <c r="A33" s="359" t="s">
        <v>6714</v>
      </c>
      <c r="B33" s="349" t="s">
        <v>4216</v>
      </c>
      <c r="C33" s="346">
        <f>1500/(1+$R$1)</f>
        <v>1300.7570543702686</v>
      </c>
      <c r="D33" s="349">
        <f>477049*(1+$R$1)</f>
        <v>550120.79126984125</v>
      </c>
      <c r="E33" s="351" t="s">
        <v>5261</v>
      </c>
      <c r="F33" s="350">
        <v>510.99</v>
      </c>
      <c r="G33" s="351">
        <f t="shared" si="9"/>
        <v>1382821.3959883663</v>
      </c>
      <c r="H33" s="372">
        <f t="shared" si="10"/>
        <v>2.5455626418721864</v>
      </c>
      <c r="I33" s="352">
        <f t="shared" si="11"/>
        <v>3.0215827338129495</v>
      </c>
      <c r="J33" s="355">
        <f t="shared" si="2"/>
        <v>1.1869999520383692</v>
      </c>
      <c r="K33" s="355">
        <f t="shared" si="3"/>
        <v>-18.313998280896694</v>
      </c>
      <c r="L33" s="355"/>
      <c r="M33" s="355"/>
      <c r="N33" s="355">
        <f t="shared" si="13"/>
        <v>1.0184573368969867</v>
      </c>
      <c r="O33" s="360">
        <f t="shared" si="12"/>
        <v>-789.76705437026862</v>
      </c>
      <c r="P33">
        <v>1500</v>
      </c>
      <c r="Q33">
        <v>477049</v>
      </c>
      <c r="R33" t="s">
        <v>6376</v>
      </c>
      <c r="S33" s="320">
        <v>14984</v>
      </c>
      <c r="T33" s="320">
        <f>S33*0.9912/1.003631981</f>
        <v>14798.393316643422</v>
      </c>
      <c r="U33" s="320"/>
      <c r="V33" s="320"/>
      <c r="Y33" s="319"/>
    </row>
    <row r="34" spans="1:25" ht="18.75">
      <c r="A34" s="359" t="s">
        <v>6714</v>
      </c>
      <c r="B34" s="349" t="s">
        <v>4216</v>
      </c>
      <c r="C34" s="346">
        <f>1521/(1+$R$1)</f>
        <v>1318.9676531314524</v>
      </c>
      <c r="D34" s="349">
        <f>80000*(1+$R$1)</f>
        <v>92253.96825396824</v>
      </c>
      <c r="E34" s="351" t="s">
        <v>5261</v>
      </c>
      <c r="F34" s="350">
        <v>508.26659999999998</v>
      </c>
      <c r="G34" s="351">
        <f t="shared" si="9"/>
        <v>236402.39514078898</v>
      </c>
      <c r="H34" s="372">
        <f t="shared" si="10"/>
        <v>2.5950311374610342</v>
      </c>
      <c r="I34" s="352">
        <f t="shared" si="11"/>
        <v>3.0215827338129495</v>
      </c>
      <c r="J34" s="355">
        <f t="shared" si="2"/>
        <v>1.1643724386171532</v>
      </c>
      <c r="K34" s="355">
        <f t="shared" si="3"/>
        <v>-16.676826641170539</v>
      </c>
      <c r="L34" s="355"/>
      <c r="M34" s="355"/>
      <c r="N34" s="355">
        <f t="shared" si="13"/>
        <v>1.0194332265783352</v>
      </c>
      <c r="O34" s="360">
        <f t="shared" si="12"/>
        <v>-810.70105313145245</v>
      </c>
      <c r="P34">
        <v>1521</v>
      </c>
      <c r="Q34">
        <v>80000</v>
      </c>
      <c r="R34" t="s">
        <v>1068</v>
      </c>
      <c r="S34" s="320">
        <v>1155794</v>
      </c>
      <c r="T34" s="320">
        <f>S34*1.00125</f>
        <v>1157238.7424999999</v>
      </c>
      <c r="U34" s="320">
        <f>S34/1.00125</f>
        <v>1154351.0611735331</v>
      </c>
      <c r="V34" s="320">
        <f>S34*1.0025</f>
        <v>1158683.4849999999</v>
      </c>
      <c r="Y34" s="319"/>
    </row>
    <row r="35" spans="1:25" ht="18.75">
      <c r="A35" s="359" t="s">
        <v>6717</v>
      </c>
      <c r="B35" s="349" t="s">
        <v>4216</v>
      </c>
      <c r="C35" s="346">
        <f>1538.5/(1+$R$1)</f>
        <v>1334.1431520991055</v>
      </c>
      <c r="D35" s="349">
        <f>230485*(1+$R$1)</f>
        <v>265789.4484126984</v>
      </c>
      <c r="E35" s="351" t="s">
        <v>5261</v>
      </c>
      <c r="F35" s="350">
        <v>513.55700000000002</v>
      </c>
      <c r="G35" s="351">
        <f t="shared" si="9"/>
        <v>681829.45212567027</v>
      </c>
      <c r="H35" s="372">
        <f t="shared" si="10"/>
        <v>2.5978482468335655</v>
      </c>
      <c r="I35" s="352">
        <f t="shared" si="11"/>
        <v>3.0215827338129495</v>
      </c>
      <c r="J35" s="355">
        <f t="shared" si="2"/>
        <v>1.1631097919194704</v>
      </c>
      <c r="K35" s="355">
        <f t="shared" si="3"/>
        <v>-16.583593735746284</v>
      </c>
      <c r="L35" s="355"/>
      <c r="M35" s="355"/>
      <c r="N35" s="355">
        <f t="shared" si="13"/>
        <v>1.0010855782544821</v>
      </c>
      <c r="O35" s="360">
        <f t="shared" si="12"/>
        <v>-820.58615209910545</v>
      </c>
      <c r="P35">
        <v>1538.5</v>
      </c>
      <c r="Q35">
        <v>230485</v>
      </c>
      <c r="T35" t="s">
        <v>25</v>
      </c>
      <c r="U35" s="319" t="s">
        <v>25</v>
      </c>
      <c r="W35" s="319"/>
      <c r="Y35" s="319"/>
    </row>
    <row r="36" spans="1:25" ht="18.75">
      <c r="A36" s="442" t="s">
        <v>6913</v>
      </c>
      <c r="B36" s="349" t="s">
        <v>4216</v>
      </c>
      <c r="C36" s="346">
        <f>1368/(1+$R$1)</f>
        <v>1186.2904335856849</v>
      </c>
      <c r="D36" s="349">
        <f>50000*(1+$R$1)</f>
        <v>57658.730158730155</v>
      </c>
      <c r="E36" s="351" t="s">
        <v>5261</v>
      </c>
      <c r="F36" s="350">
        <v>400</v>
      </c>
      <c r="G36" s="289">
        <f t="shared" ref="G36:G56" si="14">C36*D36*0.9912/(F36*1.003631981)</f>
        <v>168881.82442245231</v>
      </c>
      <c r="H36" s="372">
        <f>C36/F36</f>
        <v>2.9657260839642121</v>
      </c>
      <c r="I36" s="352">
        <f t="shared" si="11"/>
        <v>3.0215827338129495</v>
      </c>
      <c r="J36" s="288">
        <f t="shared" si="2"/>
        <v>1.0188340555625675</v>
      </c>
      <c r="K36" s="355">
        <f t="shared" si="3"/>
        <v>-4.4085891259463157</v>
      </c>
      <c r="L36" s="355"/>
      <c r="M36" s="355"/>
      <c r="N36" s="355">
        <f t="shared" si="13"/>
        <v>1.1416086707832305</v>
      </c>
      <c r="O36" s="360">
        <f t="shared" si="12"/>
        <v>-786.29043358568492</v>
      </c>
      <c r="P36">
        <v>1368</v>
      </c>
      <c r="Q36">
        <v>50000</v>
      </c>
    </row>
    <row r="37" spans="1:25" ht="21">
      <c r="A37" s="442" t="s">
        <v>6915</v>
      </c>
      <c r="B37" s="349" t="s">
        <v>4216</v>
      </c>
      <c r="C37" s="346">
        <f>1395/(1+$R$1)</f>
        <v>1209.7040605643497</v>
      </c>
      <c r="D37" s="349">
        <f>23487*(1+$R$1)</f>
        <v>27084.611904761903</v>
      </c>
      <c r="E37" s="351" t="s">
        <v>5261</v>
      </c>
      <c r="F37" s="350">
        <v>405</v>
      </c>
      <c r="G37" s="289">
        <f t="shared" si="14"/>
        <v>79897.563168625245</v>
      </c>
      <c r="H37" s="372">
        <f>C37/F37</f>
        <v>2.9869236063317275</v>
      </c>
      <c r="I37" s="352">
        <f t="shared" si="11"/>
        <v>3.0215827338129495</v>
      </c>
      <c r="J37" s="288">
        <f t="shared" si="2"/>
        <v>1.0116036203295429</v>
      </c>
      <c r="K37" s="355">
        <f t="shared" si="3"/>
        <v>-3.7070520761642745</v>
      </c>
      <c r="L37" s="355"/>
      <c r="M37" s="355"/>
      <c r="N37" s="355">
        <f t="shared" si="13"/>
        <v>1.0071474983755686</v>
      </c>
      <c r="O37" s="360">
        <f t="shared" si="12"/>
        <v>-804.70406056434967</v>
      </c>
      <c r="P37">
        <v>1395</v>
      </c>
      <c r="Q37">
        <v>23487</v>
      </c>
      <c r="R37" s="67" t="s">
        <v>5836</v>
      </c>
      <c r="S37" s="296">
        <v>2760</v>
      </c>
      <c r="T37" t="s">
        <v>25</v>
      </c>
    </row>
    <row r="38" spans="1:25" ht="21">
      <c r="A38" s="442" t="s">
        <v>6915</v>
      </c>
      <c r="B38" s="349" t="s">
        <v>4216</v>
      </c>
      <c r="C38" s="346">
        <f>1400/(1+$R$1)</f>
        <v>1214.0399174122506</v>
      </c>
      <c r="D38" s="349">
        <f>50168*(1+$R$1)</f>
        <v>57852.463492063485</v>
      </c>
      <c r="E38" s="351" t="s">
        <v>5261</v>
      </c>
      <c r="F38" s="350">
        <v>405.1</v>
      </c>
      <c r="G38" s="289">
        <f t="shared" si="14"/>
        <v>171229.81279152533</v>
      </c>
      <c r="H38" s="372">
        <f>C38/F38</f>
        <v>2.9968894530048149</v>
      </c>
      <c r="I38" s="352">
        <f t="shared" si="11"/>
        <v>3.0215827338129495</v>
      </c>
      <c r="J38" s="288">
        <f t="shared" si="2"/>
        <v>1.0082396368619391</v>
      </c>
      <c r="K38" s="355">
        <f t="shared" si="3"/>
        <v>-3.3772300076978068</v>
      </c>
      <c r="L38" s="355"/>
      <c r="M38" s="355"/>
      <c r="N38" s="355">
        <f t="shared" si="13"/>
        <v>1.0033364919852525</v>
      </c>
      <c r="O38" s="360">
        <f t="shared" si="12"/>
        <v>-808.93991741225057</v>
      </c>
      <c r="P38">
        <v>1400</v>
      </c>
      <c r="Q38">
        <v>50168</v>
      </c>
      <c r="R38" s="97" t="s">
        <v>4216</v>
      </c>
      <c r="S38" s="276">
        <v>1260</v>
      </c>
    </row>
    <row r="39" spans="1:25" ht="21">
      <c r="A39" s="442" t="s">
        <v>6915</v>
      </c>
      <c r="B39" s="349" t="s">
        <v>4216</v>
      </c>
      <c r="C39" s="346">
        <f>1404/(1+$R$1)</f>
        <v>1217.5086028905714</v>
      </c>
      <c r="D39" s="349">
        <f>9000*(1+$R$1)</f>
        <v>10378.571428571428</v>
      </c>
      <c r="E39" s="351" t="s">
        <v>5261</v>
      </c>
      <c r="F39" s="350">
        <v>404.33</v>
      </c>
      <c r="G39" s="289">
        <f t="shared" si="14"/>
        <v>30864.585791585432</v>
      </c>
      <c r="H39" s="372">
        <f>C39/F39</f>
        <v>3.0111755320915377</v>
      </c>
      <c r="I39" s="352">
        <f t="shared" si="11"/>
        <v>3.0215827338129495</v>
      </c>
      <c r="J39" s="288">
        <f t="shared" si="2"/>
        <v>1.0034561923111083</v>
      </c>
      <c r="K39" s="355">
        <f t="shared" si="3"/>
        <v>-2.9044288188753153</v>
      </c>
      <c r="L39" s="355"/>
      <c r="M39" s="355"/>
      <c r="N39" s="355">
        <f t="shared" si="13"/>
        <v>1.0047669689892629</v>
      </c>
      <c r="O39" s="360">
        <f t="shared" si="12"/>
        <v>-813.17860289057148</v>
      </c>
      <c r="P39">
        <v>1404</v>
      </c>
      <c r="Q39" s="446">
        <v>9000</v>
      </c>
      <c r="R39" s="97" t="s">
        <v>5261</v>
      </c>
      <c r="S39" s="286">
        <v>417</v>
      </c>
    </row>
    <row r="40" spans="1:25" ht="21">
      <c r="A40" s="442" t="s">
        <v>6915</v>
      </c>
      <c r="B40" s="349" t="s">
        <v>4216</v>
      </c>
      <c r="C40" s="346">
        <f>1413/(1+$R$1)</f>
        <v>1225.3131452167929</v>
      </c>
      <c r="D40" s="349">
        <f>42989*(1+$R$1)</f>
        <v>49573.823015873015</v>
      </c>
      <c r="E40" s="351" t="s">
        <v>5261</v>
      </c>
      <c r="F40" s="350">
        <v>406</v>
      </c>
      <c r="G40" s="289">
        <f t="shared" si="14"/>
        <v>147761.15345672777</v>
      </c>
      <c r="H40" s="372">
        <f>C40/F40</f>
        <v>3.0180126729477657</v>
      </c>
      <c r="I40" s="352">
        <f t="shared" si="11"/>
        <v>3.0215827338129495</v>
      </c>
      <c r="J40" s="288">
        <f t="shared" ref="J40:J56" si="15">I40/H40</f>
        <v>1.0011829177846683</v>
      </c>
      <c r="K40" s="355">
        <f t="shared" ref="K40:K56" si="16">(1/J40-1.0256)*100</f>
        <v>-2.6781520143477677</v>
      </c>
      <c r="L40" s="355"/>
      <c r="M40" s="355"/>
      <c r="N40" s="355">
        <f t="shared" ref="N40:N56" si="17">H40/H39</f>
        <v>1.0022705886067953</v>
      </c>
      <c r="O40" s="360">
        <f t="shared" ref="O40:O56" si="18">F40-C40</f>
        <v>-819.31314521679292</v>
      </c>
      <c r="P40">
        <v>1413</v>
      </c>
      <c r="Q40" s="446">
        <v>42989</v>
      </c>
      <c r="R40" s="97" t="s">
        <v>5790</v>
      </c>
      <c r="S40" s="315">
        <v>1300</v>
      </c>
      <c r="V40" t="s">
        <v>25</v>
      </c>
    </row>
    <row r="41" spans="1:25" ht="18.75" customHeight="1">
      <c r="A41" s="442" t="s">
        <v>6918</v>
      </c>
      <c r="B41" s="349" t="s">
        <v>4216</v>
      </c>
      <c r="C41" s="346">
        <f>1459/(1+$R$1)</f>
        <v>1265.2030282174812</v>
      </c>
      <c r="D41" s="349">
        <f>52000*(1+$R$1)</f>
        <v>59965.079365079357</v>
      </c>
      <c r="E41" s="351" t="s">
        <v>5261</v>
      </c>
      <c r="F41" s="350">
        <v>418.7</v>
      </c>
      <c r="G41" s="289">
        <f t="shared" si="14"/>
        <v>178954.43925269402</v>
      </c>
      <c r="H41" s="372">
        <f t="shared" ref="H41:H56" si="19">C41/F41</f>
        <v>3.0217411708084101</v>
      </c>
      <c r="I41" s="352">
        <f t="shared" si="11"/>
        <v>3.0215827338129495</v>
      </c>
      <c r="J41" s="288">
        <f t="shared" si="15"/>
        <v>0.99994756764841697</v>
      </c>
      <c r="K41" s="355">
        <f t="shared" si="16"/>
        <v>-2.5547564899121467</v>
      </c>
      <c r="L41" s="355"/>
      <c r="M41" s="355"/>
      <c r="N41" s="355">
        <f t="shared" si="17"/>
        <v>1.0012354149119602</v>
      </c>
      <c r="O41" s="360">
        <f t="shared" si="18"/>
        <v>-846.50302821748119</v>
      </c>
      <c r="P41">
        <v>1459</v>
      </c>
      <c r="Q41" s="446">
        <v>52000</v>
      </c>
      <c r="R41" s="97" t="s">
        <v>4358</v>
      </c>
      <c r="S41" s="275">
        <v>18385</v>
      </c>
    </row>
    <row r="42" spans="1:25" ht="21.75" customHeight="1">
      <c r="A42" s="442" t="s">
        <v>6918</v>
      </c>
      <c r="B42" s="349" t="s">
        <v>4216</v>
      </c>
      <c r="C42" s="346">
        <f>1473/(1+$R$1)</f>
        <v>1277.3434273916037</v>
      </c>
      <c r="D42" s="349">
        <f>156011*(1+$R$1)</f>
        <v>179907.92301587301</v>
      </c>
      <c r="E42" s="351" t="s">
        <v>5261</v>
      </c>
      <c r="F42" s="350">
        <v>420.96</v>
      </c>
      <c r="G42" s="289">
        <f t="shared" si="14"/>
        <v>539142.95954259369</v>
      </c>
      <c r="H42" s="372">
        <f t="shared" si="19"/>
        <v>3.0343581988588078</v>
      </c>
      <c r="I42" s="352">
        <f t="shared" si="11"/>
        <v>3.0215827338129495</v>
      </c>
      <c r="J42" s="288">
        <f t="shared" si="15"/>
        <v>0.99578973074086541</v>
      </c>
      <c r="K42" s="355">
        <f t="shared" si="16"/>
        <v>-2.1371929425299419</v>
      </c>
      <c r="L42" s="355"/>
      <c r="M42" s="355"/>
      <c r="N42" s="355">
        <f t="shared" si="17"/>
        <v>1.0041754165354349</v>
      </c>
      <c r="O42" s="360">
        <f t="shared" si="18"/>
        <v>-856.38342739160362</v>
      </c>
      <c r="P42">
        <v>1473</v>
      </c>
      <c r="Q42">
        <v>156011</v>
      </c>
      <c r="R42" s="97" t="s">
        <v>4354</v>
      </c>
      <c r="S42" s="285">
        <v>220</v>
      </c>
      <c r="T42" t="s">
        <v>25</v>
      </c>
      <c r="W42" t="s">
        <v>25</v>
      </c>
    </row>
    <row r="43" spans="1:25" ht="21">
      <c r="A43" s="442" t="s">
        <v>6918</v>
      </c>
      <c r="B43" s="349" t="s">
        <v>4216</v>
      </c>
      <c r="C43" s="346">
        <f>1473/(1+$R$1)</f>
        <v>1277.3434273916037</v>
      </c>
      <c r="D43" s="349">
        <f>6000*(1+$R$1)</f>
        <v>6919.0476190476184</v>
      </c>
      <c r="E43" s="351" t="s">
        <v>5261</v>
      </c>
      <c r="F43" s="350">
        <v>420.4</v>
      </c>
      <c r="G43" s="289">
        <f t="shared" si="14"/>
        <v>20762.425707702962</v>
      </c>
      <c r="H43" s="372">
        <f t="shared" si="19"/>
        <v>3.0384001603035293</v>
      </c>
      <c r="I43" s="352">
        <f t="shared" si="11"/>
        <v>3.0215827338129495</v>
      </c>
      <c r="J43" s="288">
        <f t="shared" si="15"/>
        <v>0.99446503896678973</v>
      </c>
      <c r="K43" s="355">
        <f t="shared" si="16"/>
        <v>-2.0034232661451101</v>
      </c>
      <c r="L43" s="355"/>
      <c r="M43" s="355"/>
      <c r="N43" s="355">
        <f t="shared" si="17"/>
        <v>1.0013320647002855</v>
      </c>
      <c r="O43" s="360">
        <f t="shared" si="18"/>
        <v>-856.94342739160368</v>
      </c>
      <c r="P43">
        <v>1473</v>
      </c>
      <c r="Q43" s="427">
        <v>6000</v>
      </c>
      <c r="R43" s="97" t="s">
        <v>4652</v>
      </c>
      <c r="S43" s="396">
        <v>705</v>
      </c>
      <c r="V43" t="s">
        <v>25</v>
      </c>
    </row>
    <row r="44" spans="1:25" ht="18.75" customHeight="1">
      <c r="A44" s="442" t="s">
        <v>6918</v>
      </c>
      <c r="B44" s="349" t="s">
        <v>4216</v>
      </c>
      <c r="C44" s="346">
        <f>1472/(1+$R$1)</f>
        <v>1276.4762560220236</v>
      </c>
      <c r="D44" s="349">
        <f>38000*(1+$R$1)</f>
        <v>43820.634920634919</v>
      </c>
      <c r="E44" s="351" t="s">
        <v>5261</v>
      </c>
      <c r="F44" s="350">
        <v>419.76499999999999</v>
      </c>
      <c r="G44" s="289">
        <f t="shared" si="14"/>
        <v>131604.87709385002</v>
      </c>
      <c r="H44" s="372">
        <f t="shared" si="19"/>
        <v>3.040930654108903</v>
      </c>
      <c r="I44" s="352">
        <f t="shared" si="11"/>
        <v>3.0215827338129495</v>
      </c>
      <c r="J44" s="288">
        <f t="shared" si="15"/>
        <v>0.9936375003258261</v>
      </c>
      <c r="K44" s="355">
        <f t="shared" si="16"/>
        <v>-1.9196759711577416</v>
      </c>
      <c r="L44" s="355"/>
      <c r="M44" s="355"/>
      <c r="N44" s="355">
        <f t="shared" si="17"/>
        <v>1.0008328375697297</v>
      </c>
      <c r="O44" s="360">
        <f t="shared" si="18"/>
        <v>-856.71125602202358</v>
      </c>
      <c r="P44" s="429">
        <v>1472</v>
      </c>
      <c r="Q44" s="429">
        <v>38000</v>
      </c>
      <c r="R44" s="67" t="s">
        <v>1068</v>
      </c>
      <c r="S44" s="316">
        <v>12300000</v>
      </c>
      <c r="X44" s="437"/>
    </row>
    <row r="45" spans="1:25" ht="20.25" customHeight="1">
      <c r="A45" s="442" t="s">
        <v>6920</v>
      </c>
      <c r="B45" s="349" t="s">
        <v>4216</v>
      </c>
      <c r="C45" s="346">
        <f>1477/(1+$R$1)</f>
        <v>1280.8121128699245</v>
      </c>
      <c r="D45" s="349">
        <f>20000*(1+$R$1)</f>
        <v>23063.49206349206</v>
      </c>
      <c r="E45" s="351" t="s">
        <v>5261</v>
      </c>
      <c r="F45" s="350">
        <v>418</v>
      </c>
      <c r="G45" s="289">
        <f>C45*D45*0.9912/(F45*1.003631981)</f>
        <v>69794.469535230994</v>
      </c>
      <c r="H45" s="372">
        <f t="shared" si="19"/>
        <v>3.0641438106935994</v>
      </c>
      <c r="I45" s="352">
        <f t="shared" si="11"/>
        <v>3.0215827338129495</v>
      </c>
      <c r="J45" s="288">
        <f t="shared" si="15"/>
        <v>0.98610996104944049</v>
      </c>
      <c r="K45" s="355">
        <f t="shared" si="16"/>
        <v>-1.1514310270451578</v>
      </c>
      <c r="L45" s="355"/>
      <c r="M45" s="355"/>
      <c r="N45" s="355">
        <f t="shared" si="17"/>
        <v>1.0076335698590597</v>
      </c>
      <c r="O45" s="360">
        <f t="shared" si="18"/>
        <v>-862.81211286992448</v>
      </c>
      <c r="P45" s="429">
        <v>1477</v>
      </c>
      <c r="Q45" s="429">
        <v>20000</v>
      </c>
      <c r="T45" s="429"/>
      <c r="X45" s="437"/>
    </row>
    <row r="46" spans="1:25" ht="18.75">
      <c r="A46" s="442" t="s">
        <v>6920</v>
      </c>
      <c r="B46" s="349" t="s">
        <v>4216</v>
      </c>
      <c r="C46" s="346">
        <f>1465/(1+$R$1)</f>
        <v>1270.4060564349622</v>
      </c>
      <c r="D46" s="349">
        <f>10000*(1+$R$1)</f>
        <v>11531.74603174603</v>
      </c>
      <c r="E46" s="351" t="s">
        <v>5261</v>
      </c>
      <c r="F46" s="350">
        <v>413.36</v>
      </c>
      <c r="G46" s="289">
        <f>C46*D46*0.9912/(F46*1.003631981)</f>
        <v>35002.251238303324</v>
      </c>
      <c r="H46" s="372">
        <f t="shared" si="19"/>
        <v>3.0733647581647046</v>
      </c>
      <c r="I46" s="352">
        <f t="shared" si="11"/>
        <v>3.0215827338129495</v>
      </c>
      <c r="J46" s="288">
        <f t="shared" si="15"/>
        <v>0.98315135741236348</v>
      </c>
      <c r="K46" s="355">
        <f t="shared" si="16"/>
        <v>-0.84626157502525334</v>
      </c>
      <c r="L46" s="355"/>
      <c r="M46" s="355"/>
      <c r="N46" s="355">
        <f t="shared" si="17"/>
        <v>1.0030093063644483</v>
      </c>
      <c r="O46" s="360">
        <f t="shared" si="18"/>
        <v>-857.04605643496222</v>
      </c>
      <c r="P46" s="429">
        <v>1465</v>
      </c>
      <c r="Q46" s="429">
        <v>10000</v>
      </c>
      <c r="T46" s="429"/>
    </row>
    <row r="47" spans="1:25" ht="18.75">
      <c r="A47" s="442" t="s">
        <v>6920</v>
      </c>
      <c r="B47" s="349" t="s">
        <v>4216</v>
      </c>
      <c r="C47" s="346">
        <f>1468/(1+$R$1)</f>
        <v>1273.0075705437027</v>
      </c>
      <c r="D47" s="349">
        <f>20000*(1+$R$1)</f>
        <v>23063.49206349206</v>
      </c>
      <c r="E47" s="351" t="s">
        <v>5261</v>
      </c>
      <c r="F47" s="350">
        <v>414.16500000000002</v>
      </c>
      <c r="G47" s="289">
        <f t="shared" si="14"/>
        <v>70011.512137020836</v>
      </c>
      <c r="H47" s="372">
        <f t="shared" si="19"/>
        <v>3.0736724989888153</v>
      </c>
      <c r="I47" s="352">
        <f t="shared" si="11"/>
        <v>3.0215827338129495</v>
      </c>
      <c r="J47" s="288">
        <f t="shared" si="15"/>
        <v>0.98305292278438827</v>
      </c>
      <c r="K47" s="355">
        <f t="shared" si="16"/>
        <v>-0.83607681917969856</v>
      </c>
      <c r="L47" s="355"/>
      <c r="M47" s="355"/>
      <c r="N47" s="355">
        <f t="shared" si="17"/>
        <v>1.0001001315653448</v>
      </c>
      <c r="O47" s="360">
        <f t="shared" si="18"/>
        <v>-858.84257054370278</v>
      </c>
      <c r="P47">
        <v>1468</v>
      </c>
      <c r="Q47">
        <v>20000</v>
      </c>
      <c r="T47" t="s">
        <v>25</v>
      </c>
    </row>
    <row r="48" spans="1:25" ht="18.75">
      <c r="A48" s="442" t="s">
        <v>6920</v>
      </c>
      <c r="B48" s="349" t="s">
        <v>4216</v>
      </c>
      <c r="C48" s="346">
        <f>1453/(1+$R$1)</f>
        <v>1260</v>
      </c>
      <c r="D48" s="349">
        <f>13000*(1+$R$1)</f>
        <v>14991.269841269839</v>
      </c>
      <c r="E48" s="351" t="s">
        <v>5261</v>
      </c>
      <c r="F48" s="350">
        <v>409</v>
      </c>
      <c r="G48" s="289">
        <f t="shared" si="14"/>
        <v>45611.301012535223</v>
      </c>
      <c r="H48" s="372">
        <f t="shared" si="19"/>
        <v>3.0806845965770173</v>
      </c>
      <c r="I48" s="352">
        <f t="shared" si="11"/>
        <v>3.0215827338129495</v>
      </c>
      <c r="J48" s="288">
        <f t="shared" si="15"/>
        <v>0.98081534772182244</v>
      </c>
      <c r="K48" s="355">
        <f t="shared" si="16"/>
        <v>-0.60400977995109795</v>
      </c>
      <c r="L48" s="355"/>
      <c r="M48" s="355"/>
      <c r="N48" s="355">
        <f t="shared" si="17"/>
        <v>1.0022813418119558</v>
      </c>
      <c r="O48" s="360">
        <f t="shared" si="18"/>
        <v>-851</v>
      </c>
      <c r="P48">
        <v>1453</v>
      </c>
      <c r="Q48">
        <v>13000</v>
      </c>
    </row>
    <row r="49" spans="1:23" ht="18.75">
      <c r="A49" s="442" t="s">
        <v>6920</v>
      </c>
      <c r="B49" s="349" t="s">
        <v>4216</v>
      </c>
      <c r="C49" s="346">
        <f>1458/(1+$R$1)</f>
        <v>1264.3358568479009</v>
      </c>
      <c r="D49" s="349">
        <f>16986*(1+$R$1)</f>
        <v>19587.823809523808</v>
      </c>
      <c r="E49" s="351" t="s">
        <v>5261</v>
      </c>
      <c r="F49" s="350">
        <v>410.565</v>
      </c>
      <c r="G49" s="289">
        <f t="shared" si="14"/>
        <v>59573.555630545517</v>
      </c>
      <c r="H49" s="372">
        <f t="shared" si="19"/>
        <v>3.0795022879395488</v>
      </c>
      <c r="I49" s="352">
        <f t="shared" si="11"/>
        <v>3.0215827338129495</v>
      </c>
      <c r="J49" s="288">
        <f t="shared" si="15"/>
        <v>0.98119191066899569</v>
      </c>
      <c r="K49" s="355">
        <f t="shared" si="16"/>
        <v>-0.64313856581017514</v>
      </c>
      <c r="L49" s="355"/>
      <c r="M49" s="355"/>
      <c r="N49" s="355">
        <f t="shared" si="17"/>
        <v>0.99961621886291696</v>
      </c>
      <c r="O49" s="360">
        <f t="shared" si="18"/>
        <v>-853.77085684790086</v>
      </c>
      <c r="P49">
        <v>1458</v>
      </c>
      <c r="Q49">
        <v>16986</v>
      </c>
    </row>
    <row r="50" spans="1:23" ht="18.75">
      <c r="A50" s="442" t="s">
        <v>6920</v>
      </c>
      <c r="B50" s="349" t="s">
        <v>4216</v>
      </c>
      <c r="C50" s="346">
        <f>1454/(1+$R$1)</f>
        <v>1260.8671713695803</v>
      </c>
      <c r="D50" s="349">
        <f>3000*(1+$R$1)</f>
        <v>3459.5238095238092</v>
      </c>
      <c r="E50" s="351" t="s">
        <v>5261</v>
      </c>
      <c r="F50" s="350">
        <v>408.5</v>
      </c>
      <c r="G50" s="289">
        <f t="shared" si="14"/>
        <v>10545.821156144459</v>
      </c>
      <c r="H50" s="372">
        <f t="shared" si="19"/>
        <v>3.0865781428875896</v>
      </c>
      <c r="I50" s="352">
        <f t="shared" si="11"/>
        <v>3.0215827338129495</v>
      </c>
      <c r="J50" s="288">
        <f t="shared" si="15"/>
        <v>0.9789425680913314</v>
      </c>
      <c r="K50" s="355">
        <f t="shared" si="16"/>
        <v>-0.408961461577384</v>
      </c>
      <c r="L50" s="355"/>
      <c r="M50" s="355"/>
      <c r="N50" s="355">
        <f t="shared" si="17"/>
        <v>1.0022977268033708</v>
      </c>
      <c r="O50" s="360">
        <f t="shared" si="18"/>
        <v>-852.36717136958032</v>
      </c>
      <c r="P50">
        <v>1454</v>
      </c>
      <c r="Q50">
        <v>3000</v>
      </c>
    </row>
    <row r="51" spans="1:23" ht="18.75">
      <c r="A51" s="442" t="s">
        <v>6920</v>
      </c>
      <c r="B51" s="349" t="s">
        <v>4216</v>
      </c>
      <c r="C51" s="346">
        <f>1455/(1+$R$1)</f>
        <v>1261.7343427391604</v>
      </c>
      <c r="D51" s="349">
        <f>1376*(1+$R$1)</f>
        <v>1586.7682539682539</v>
      </c>
      <c r="E51" s="351" t="s">
        <v>5261</v>
      </c>
      <c r="F51" s="350">
        <v>408.3</v>
      </c>
      <c r="G51" s="289">
        <f t="shared" si="14"/>
        <v>4842.7143073577545</v>
      </c>
      <c r="H51" s="372">
        <f t="shared" si="19"/>
        <v>3.0902139180483967</v>
      </c>
      <c r="I51" s="352">
        <f t="shared" si="11"/>
        <v>3.0215827338129495</v>
      </c>
      <c r="J51" s="288">
        <f t="shared" si="15"/>
        <v>0.97779079828920368</v>
      </c>
      <c r="K51" s="355">
        <f t="shared" si="16"/>
        <v>-0.28863461696972958</v>
      </c>
      <c r="L51" s="355"/>
      <c r="M51" s="355"/>
      <c r="N51" s="355">
        <f t="shared" si="17"/>
        <v>1.0011779307027056</v>
      </c>
      <c r="O51" s="360">
        <f t="shared" si="18"/>
        <v>-853.43434273916046</v>
      </c>
      <c r="P51">
        <v>1455</v>
      </c>
      <c r="Q51">
        <v>1376</v>
      </c>
    </row>
    <row r="52" spans="1:23" ht="36.75" customHeight="1">
      <c r="A52" s="442" t="s">
        <v>6920</v>
      </c>
      <c r="B52" s="349" t="s">
        <v>4216</v>
      </c>
      <c r="C52" s="346">
        <f>1475/(1+$R$1)</f>
        <v>1279.0777701307641</v>
      </c>
      <c r="D52" s="349">
        <f>10000*(1+$R$1)</f>
        <v>11531.74603174603</v>
      </c>
      <c r="E52" s="351" t="s">
        <v>5261</v>
      </c>
      <c r="F52" s="350">
        <v>413.9</v>
      </c>
      <c r="G52" s="289">
        <f t="shared" si="14"/>
        <v>35195.196599895891</v>
      </c>
      <c r="H52" s="372">
        <f t="shared" si="19"/>
        <v>3.0903062820264897</v>
      </c>
      <c r="I52" s="352">
        <f t="shared" si="11"/>
        <v>3.0215827338129495</v>
      </c>
      <c r="J52" s="288">
        <f t="shared" si="15"/>
        <v>0.97776157379181383</v>
      </c>
      <c r="K52" s="355">
        <f t="shared" si="16"/>
        <v>-0.28557780912332742</v>
      </c>
      <c r="L52" s="355"/>
      <c r="M52" s="355"/>
      <c r="N52" s="355">
        <f t="shared" si="17"/>
        <v>1.0000298891858437</v>
      </c>
      <c r="O52" s="360">
        <f t="shared" si="18"/>
        <v>-865.17777013076409</v>
      </c>
      <c r="P52">
        <v>1475</v>
      </c>
      <c r="Q52">
        <v>10000</v>
      </c>
      <c r="W52" t="s">
        <v>25</v>
      </c>
    </row>
    <row r="53" spans="1:23" ht="25.5" customHeight="1">
      <c r="A53" s="442" t="s">
        <v>6942</v>
      </c>
      <c r="B53" s="349" t="s">
        <v>4216</v>
      </c>
      <c r="C53" s="346">
        <f>1451/(1+$R$1)</f>
        <v>1258.2656572608398</v>
      </c>
      <c r="D53" s="349">
        <f>34746*(1+$R$1)</f>
        <v>40068.204761904759</v>
      </c>
      <c r="E53" s="351" t="s">
        <v>5261</v>
      </c>
      <c r="F53" s="350">
        <v>406.27</v>
      </c>
      <c r="G53" s="289">
        <f t="shared" si="14"/>
        <v>122558.73656136046</v>
      </c>
      <c r="H53" s="372">
        <f t="shared" si="19"/>
        <v>3.0971168367362587</v>
      </c>
      <c r="I53" s="352">
        <f t="shared" si="11"/>
        <v>3.0215827338129495</v>
      </c>
      <c r="J53" s="288">
        <f>I53/H53</f>
        <v>0.97561147773717605</v>
      </c>
      <c r="K53" s="355">
        <f>(1/J53-1.0256)*100</f>
        <v>-6.0180879442861546E-2</v>
      </c>
      <c r="L53" s="355"/>
      <c r="M53" s="355"/>
      <c r="N53" s="355">
        <f>H53/H52</f>
        <v>1.0022038445669219</v>
      </c>
      <c r="O53" s="360">
        <f t="shared" si="18"/>
        <v>-851.99565726083983</v>
      </c>
      <c r="P53">
        <v>1451</v>
      </c>
      <c r="Q53">
        <v>34746</v>
      </c>
    </row>
    <row r="54" spans="1:23" ht="18.75">
      <c r="A54" s="442" t="s">
        <v>6920</v>
      </c>
      <c r="B54" s="349" t="s">
        <v>4216</v>
      </c>
      <c r="C54" s="346">
        <f>1470/(1+$R$1)</f>
        <v>1274.7419132828632</v>
      </c>
      <c r="D54" s="349">
        <f>3000*(1+$R$1)</f>
        <v>3459.5238095238092</v>
      </c>
      <c r="E54" s="351" t="s">
        <v>5261</v>
      </c>
      <c r="F54" s="350">
        <v>411.19</v>
      </c>
      <c r="G54" s="289">
        <f t="shared" si="14"/>
        <v>10592.118890742227</v>
      </c>
      <c r="H54" s="372">
        <f t="shared" si="19"/>
        <v>3.1001286832920623</v>
      </c>
      <c r="I54" s="352">
        <f t="shared" si="11"/>
        <v>3.0215827338129495</v>
      </c>
      <c r="J54" s="288">
        <f t="shared" si="15"/>
        <v>0.97466364867289834</v>
      </c>
      <c r="K54" s="355">
        <f t="shared" si="16"/>
        <v>3.9496899427771126E-2</v>
      </c>
      <c r="L54" s="355"/>
      <c r="M54" s="355"/>
      <c r="N54" s="355">
        <f>H54/H52</f>
        <v>1.0031784555863283</v>
      </c>
      <c r="O54" s="360">
        <f t="shared" si="18"/>
        <v>-863.5519132828631</v>
      </c>
      <c r="P54">
        <v>1470</v>
      </c>
      <c r="Q54">
        <v>3000</v>
      </c>
    </row>
    <row r="55" spans="1:23" ht="18.75">
      <c r="A55" s="442" t="s">
        <v>6926</v>
      </c>
      <c r="B55" s="349" t="s">
        <v>4216</v>
      </c>
      <c r="C55" s="346">
        <f>1484/(1+$R$1)</f>
        <v>1286.8823124569856</v>
      </c>
      <c r="D55" s="349">
        <f>10000*(1+$R$1)</f>
        <v>11531.74603174603</v>
      </c>
      <c r="E55" s="351" t="s">
        <v>5261</v>
      </c>
      <c r="F55" s="350">
        <v>414.8</v>
      </c>
      <c r="G55" s="289">
        <f t="shared" si="14"/>
        <v>35333.11726963734</v>
      </c>
      <c r="H55" s="372">
        <f t="shared" si="19"/>
        <v>3.1024163752579206</v>
      </c>
      <c r="I55" s="352">
        <f t="shared" si="11"/>
        <v>3.0215827338129495</v>
      </c>
      <c r="J55" s="288">
        <f t="shared" si="15"/>
        <v>0.97394494108217466</v>
      </c>
      <c r="K55" s="355">
        <f t="shared" si="16"/>
        <v>0.11520860972642488</v>
      </c>
      <c r="L55" s="355"/>
      <c r="M55" s="355"/>
      <c r="N55" s="355">
        <f t="shared" si="17"/>
        <v>1.0007379345180694</v>
      </c>
      <c r="O55" s="360">
        <f t="shared" si="18"/>
        <v>-872.08231245698562</v>
      </c>
      <c r="P55">
        <v>1484</v>
      </c>
      <c r="Q55">
        <v>10000</v>
      </c>
    </row>
    <row r="56" spans="1:23" ht="42.75" customHeight="1">
      <c r="A56" s="442" t="s">
        <v>6926</v>
      </c>
      <c r="B56" s="349" t="s">
        <v>4216</v>
      </c>
      <c r="C56" s="346">
        <f>1485/(1+$R$1)</f>
        <v>1287.7494838265659</v>
      </c>
      <c r="D56" s="349">
        <f>132171*(1+$R$1)</f>
        <v>152416.24047619046</v>
      </c>
      <c r="E56" s="351" t="s">
        <v>5261</v>
      </c>
      <c r="F56" s="350">
        <v>415.09449999999998</v>
      </c>
      <c r="G56" s="289">
        <f t="shared" si="14"/>
        <v>466984.4852192619</v>
      </c>
      <c r="H56" s="372">
        <f t="shared" si="19"/>
        <v>3.1023043760554909</v>
      </c>
      <c r="I56" s="352">
        <f t="shared" si="11"/>
        <v>3.0215827338129495</v>
      </c>
      <c r="J56" s="288">
        <f t="shared" si="15"/>
        <v>0.97398010238274002</v>
      </c>
      <c r="K56" s="355">
        <f t="shared" si="16"/>
        <v>0.1115019694555297</v>
      </c>
      <c r="L56" s="355"/>
      <c r="M56" s="355"/>
      <c r="N56" s="355">
        <f t="shared" si="17"/>
        <v>0.99996389936459762</v>
      </c>
      <c r="O56" s="360">
        <f t="shared" si="18"/>
        <v>-872.65498382656597</v>
      </c>
      <c r="P56">
        <v>1485</v>
      </c>
      <c r="Q56">
        <v>132171</v>
      </c>
    </row>
    <row r="57" spans="1:23" ht="33" customHeight="1">
      <c r="A57" s="344" t="s">
        <v>5759</v>
      </c>
      <c r="B57" s="344" t="s">
        <v>4354</v>
      </c>
      <c r="C57" s="343">
        <f>11624/$S$1</f>
        <v>146.50869674817241</v>
      </c>
      <c r="D57" s="344">
        <f>8930*$S$1</f>
        <v>708506.20000000007</v>
      </c>
      <c r="E57" s="351" t="s">
        <v>6765</v>
      </c>
      <c r="F57" s="350">
        <v>394</v>
      </c>
      <c r="G57" s="351">
        <f t="shared" ref="G57:G62" si="20">C57*D57*0.99114/(F57*1.0037158)</f>
        <v>260156.73964975364</v>
      </c>
      <c r="H57" s="351">
        <f t="shared" ref="H57:H62" si="21">C57/F57</f>
        <v>0.37184948413241731</v>
      </c>
      <c r="I57" s="351">
        <f>$S$42/$S$39</f>
        <v>0.52757793764988015</v>
      </c>
      <c r="J57" s="32">
        <f t="shared" ref="J57:J62" si="22">I57/H57</f>
        <v>1.4187943244853534</v>
      </c>
      <c r="K57" s="32">
        <f t="shared" ref="K57:K62" si="23">(1/J57-1.0256)*100</f>
        <v>-32.07762050762819</v>
      </c>
      <c r="L57" s="32"/>
      <c r="M57" s="32"/>
      <c r="N57" s="355">
        <v>1</v>
      </c>
      <c r="O57" s="40"/>
      <c r="P57" s="40" t="s">
        <v>25</v>
      </c>
      <c r="R57" t="s">
        <v>25</v>
      </c>
    </row>
    <row r="58" spans="1:23" ht="20.25" customHeight="1">
      <c r="A58" s="344" t="s">
        <v>5760</v>
      </c>
      <c r="B58" s="344" t="s">
        <v>4354</v>
      </c>
      <c r="C58" s="343">
        <f>11612/$S$1</f>
        <v>146.35744895386941</v>
      </c>
      <c r="D58" s="344">
        <f>352*$S$1</f>
        <v>27927.68</v>
      </c>
      <c r="E58" s="351" t="s">
        <v>6765</v>
      </c>
      <c r="F58" s="350">
        <v>389</v>
      </c>
      <c r="G58" s="351">
        <f t="shared" si="20"/>
        <v>10375.865470549825</v>
      </c>
      <c r="H58" s="351">
        <f t="shared" si="21"/>
        <v>0.37624022867318613</v>
      </c>
      <c r="I58" s="351">
        <f>$S$42/$S$39</f>
        <v>0.52757793764988015</v>
      </c>
      <c r="J58" s="32">
        <f t="shared" si="22"/>
        <v>1.4022369152559457</v>
      </c>
      <c r="K58" s="361">
        <f t="shared" si="23"/>
        <v>-31.245374837855188</v>
      </c>
      <c r="L58" s="32" t="s">
        <v>25</v>
      </c>
      <c r="M58" s="32" t="s">
        <v>25</v>
      </c>
      <c r="N58" s="32">
        <f>H58/H57</f>
        <v>1.0118078543285145</v>
      </c>
      <c r="O58" s="40"/>
      <c r="P58" s="40" t="s">
        <v>25</v>
      </c>
    </row>
    <row r="59" spans="1:23" ht="21">
      <c r="A59" s="362" t="s">
        <v>6408</v>
      </c>
      <c r="B59" s="362" t="s">
        <v>5836</v>
      </c>
      <c r="C59" s="353">
        <v>3112</v>
      </c>
      <c r="D59" s="362">
        <v>227</v>
      </c>
      <c r="E59" s="349" t="s">
        <v>4216</v>
      </c>
      <c r="F59" s="349">
        <f>1830/(1+$R$1)</f>
        <v>1586.9236063317276</v>
      </c>
      <c r="G59" s="349">
        <f t="shared" si="20"/>
        <v>439.57569140020166</v>
      </c>
      <c r="H59" s="349">
        <f t="shared" si="21"/>
        <v>1.9610269754532048</v>
      </c>
      <c r="I59" s="349">
        <f>$S$37/$S$38</f>
        <v>2.1904761904761907</v>
      </c>
      <c r="J59" s="32">
        <f t="shared" si="22"/>
        <v>1.1170046194647367</v>
      </c>
      <c r="K59" s="361">
        <f t="shared" si="23"/>
        <v>-13.034855468440664</v>
      </c>
      <c r="L59" s="32" t="s">
        <v>25</v>
      </c>
      <c r="M59" s="32" t="s">
        <v>25</v>
      </c>
      <c r="N59" s="32">
        <v>1</v>
      </c>
      <c r="O59" s="40"/>
      <c r="P59" s="40" t="s">
        <v>25</v>
      </c>
      <c r="Q59" s="94"/>
      <c r="R59" s="94"/>
    </row>
    <row r="60" spans="1:23" ht="21">
      <c r="A60" s="362" t="s">
        <v>6408</v>
      </c>
      <c r="B60" s="362" t="s">
        <v>5836</v>
      </c>
      <c r="C60" s="353">
        <v>3178</v>
      </c>
      <c r="D60" s="362">
        <v>7791</v>
      </c>
      <c r="E60" s="351" t="s">
        <v>5261</v>
      </c>
      <c r="F60" s="351">
        <v>645.41999999999996</v>
      </c>
      <c r="G60" s="351">
        <f t="shared" si="20"/>
        <v>37881.652960140629</v>
      </c>
      <c r="H60" s="351">
        <f t="shared" si="21"/>
        <v>4.9239255058721456</v>
      </c>
      <c r="I60" s="351">
        <f>$S$37/$S$39</f>
        <v>6.6187050359712227</v>
      </c>
      <c r="J60" s="32">
        <f t="shared" si="22"/>
        <v>1.3441927641021227</v>
      </c>
      <c r="K60" s="361">
        <f t="shared" si="23"/>
        <v>-28.165908117801276</v>
      </c>
      <c r="L60" s="32" t="s">
        <v>25</v>
      </c>
      <c r="M60" s="32" t="s">
        <v>25</v>
      </c>
      <c r="N60" s="32">
        <v>1</v>
      </c>
      <c r="O60" s="40"/>
      <c r="P60" s="40"/>
      <c r="Q60" s="94"/>
      <c r="R60" s="94"/>
    </row>
    <row r="61" spans="1:23" ht="21">
      <c r="A61" s="349" t="s">
        <v>6858</v>
      </c>
      <c r="B61" s="349" t="s">
        <v>4216</v>
      </c>
      <c r="C61" s="346">
        <f>1480/(1+$R$1)</f>
        <v>1283.413626978665</v>
      </c>
      <c r="D61" s="349">
        <f>1*(1+$R$1)</f>
        <v>1.1531746031746031</v>
      </c>
      <c r="E61" s="395" t="s">
        <v>4652</v>
      </c>
      <c r="F61" s="395">
        <v>666</v>
      </c>
      <c r="G61" s="395">
        <f t="shared" si="20"/>
        <v>2.1943794581427665</v>
      </c>
      <c r="H61" s="395">
        <f t="shared" si="21"/>
        <v>1.9270474879559534</v>
      </c>
      <c r="I61" s="395">
        <f>$S$38/$S$43</f>
        <v>1.7872340425531914</v>
      </c>
      <c r="J61" s="32">
        <f t="shared" si="22"/>
        <v>0.92744680851063821</v>
      </c>
      <c r="K61" s="361">
        <f t="shared" si="23"/>
        <v>5.2628951594402507</v>
      </c>
      <c r="L61" s="32" t="s">
        <v>25</v>
      </c>
      <c r="M61" s="32" t="s">
        <v>25</v>
      </c>
      <c r="N61" s="32">
        <v>1</v>
      </c>
      <c r="O61" s="40"/>
      <c r="P61">
        <v>1099.8810939357909</v>
      </c>
      <c r="Q61">
        <v>1.3455999999999999</v>
      </c>
      <c r="R61" s="94"/>
    </row>
    <row r="62" spans="1:23" ht="24" customHeight="1">
      <c r="A62" s="349" t="s">
        <v>6717</v>
      </c>
      <c r="B62" s="349" t="s">
        <v>4216</v>
      </c>
      <c r="C62" s="346">
        <f>1538.5/(1+$R$1)</f>
        <v>1334.1431520991055</v>
      </c>
      <c r="D62" s="349">
        <f>1*(1+$R$1)</f>
        <v>1.1531746031746031</v>
      </c>
      <c r="E62" s="363" t="s">
        <v>5790</v>
      </c>
      <c r="F62" s="363">
        <v>1353</v>
      </c>
      <c r="G62" s="363">
        <f t="shared" si="20"/>
        <v>1.1228556972348047</v>
      </c>
      <c r="H62" s="363">
        <f t="shared" si="21"/>
        <v>0.98606293577169657</v>
      </c>
      <c r="I62" s="363">
        <f>$S$38/$S$40</f>
        <v>0.96923076923076923</v>
      </c>
      <c r="J62" s="32">
        <f t="shared" si="22"/>
        <v>0.98292992675183111</v>
      </c>
      <c r="K62" s="32">
        <f t="shared" si="23"/>
        <v>-0.82334789657099172</v>
      </c>
      <c r="L62" s="32"/>
      <c r="M62" s="32"/>
      <c r="N62" s="32">
        <v>1</v>
      </c>
      <c r="O62" s="360"/>
      <c r="P62">
        <v>1143.356123662307</v>
      </c>
      <c r="Q62">
        <v>1.3455999999999999</v>
      </c>
      <c r="R62" s="94"/>
    </row>
    <row r="63" spans="1:23">
      <c r="A63" s="94"/>
      <c r="B63" s="113"/>
      <c r="C63" s="113"/>
      <c r="D63" s="94"/>
      <c r="E63" s="94"/>
      <c r="F63" s="94"/>
      <c r="G63" s="94"/>
      <c r="H63" s="94"/>
      <c r="I63" s="94"/>
      <c r="J63" s="94"/>
      <c r="K63" s="94"/>
      <c r="L63" s="94"/>
      <c r="M63" s="94"/>
      <c r="N63" s="94"/>
      <c r="P63" s="425"/>
      <c r="Q63" s="94"/>
      <c r="R63" s="94"/>
    </row>
    <row r="64" spans="1:23">
      <c r="A64" s="420" t="s">
        <v>6849</v>
      </c>
      <c r="B64" s="317" t="s">
        <v>1068</v>
      </c>
      <c r="C64" s="44">
        <v>11500000</v>
      </c>
      <c r="D64" s="317">
        <v>1</v>
      </c>
      <c r="E64" s="271" t="s">
        <v>4216</v>
      </c>
      <c r="F64" s="272">
        <f>1349.5/(1+$R$1)</f>
        <v>1170.2477632484515</v>
      </c>
      <c r="G64" s="271">
        <f>C64*D64*0.99875/(F64*1.0037158)</f>
        <v>9778.3606778691283</v>
      </c>
      <c r="H64" s="421">
        <f>C64/F64</f>
        <v>9826.9788340184787</v>
      </c>
      <c r="I64" s="422">
        <f>$S$44/$S$38</f>
        <v>9761.9047619047615</v>
      </c>
      <c r="J64" s="20">
        <f>I64/H64</f>
        <v>0.99337801849247431</v>
      </c>
      <c r="K64" s="20">
        <f>(1/J64-1.0153)*100</f>
        <v>-0.86338755395705125</v>
      </c>
      <c r="L64" s="20"/>
      <c r="M64" s="20"/>
      <c r="N64" s="20">
        <f>1</f>
        <v>1</v>
      </c>
      <c r="O64" s="425"/>
      <c r="P64" s="425"/>
      <c r="Q64" s="94"/>
      <c r="R64" s="94"/>
      <c r="S64" s="94"/>
    </row>
    <row r="65" spans="1:20" ht="30">
      <c r="A65" s="420" t="s">
        <v>6848</v>
      </c>
      <c r="B65" s="317" t="s">
        <v>1068</v>
      </c>
      <c r="C65" s="44">
        <v>12700000</v>
      </c>
      <c r="D65" s="317">
        <v>1</v>
      </c>
      <c r="E65" s="271" t="s">
        <v>4216</v>
      </c>
      <c r="F65" s="272">
        <f>1386/(1+$R$1)</f>
        <v>1201.8995182381282</v>
      </c>
      <c r="G65" s="271">
        <f>C65*D65*0.99875/(F65*1.0037158)</f>
        <v>10514.329709000674</v>
      </c>
      <c r="H65" s="421">
        <f>C65/F65</f>
        <v>10566.607114226161</v>
      </c>
      <c r="I65" s="422">
        <f>$S$44/$S$38</f>
        <v>9761.9047619047615</v>
      </c>
      <c r="J65" s="20">
        <f>I65/H65</f>
        <v>0.92384477404880483</v>
      </c>
      <c r="K65" s="20">
        <f>(1/J65-1.0153)*100</f>
        <v>6.7132923896338514</v>
      </c>
      <c r="L65" s="259" t="s">
        <v>6871</v>
      </c>
      <c r="M65" s="20"/>
      <c r="N65" s="20">
        <f>1</f>
        <v>1</v>
      </c>
      <c r="O65" s="425"/>
      <c r="P65" s="425"/>
      <c r="Q65" s="94" t="s">
        <v>25</v>
      </c>
      <c r="R65" s="94" t="s">
        <v>25</v>
      </c>
      <c r="S65" s="94"/>
    </row>
    <row r="66" spans="1:20">
      <c r="A66" s="420"/>
      <c r="B66" s="317"/>
      <c r="C66" s="44"/>
      <c r="D66" s="317"/>
      <c r="E66" s="271" t="s">
        <v>4216</v>
      </c>
      <c r="F66" s="272">
        <v>0</v>
      </c>
      <c r="G66" s="271" t="e">
        <f>C66*D66*0.99875/(F66*1.0037158)</f>
        <v>#DIV/0!</v>
      </c>
      <c r="H66" s="421" t="e">
        <f>C66/F66</f>
        <v>#DIV/0!</v>
      </c>
      <c r="I66" s="422">
        <f>$S$44/$S$38</f>
        <v>9761.9047619047615</v>
      </c>
      <c r="J66" s="20" t="e">
        <f>I66/H66</f>
        <v>#DIV/0!</v>
      </c>
      <c r="K66" s="20" t="e">
        <f>(1/J66-1.0153)*100</f>
        <v>#DIV/0!</v>
      </c>
      <c r="L66" s="20"/>
      <c r="M66" s="20"/>
      <c r="N66" s="20">
        <f>1</f>
        <v>1</v>
      </c>
      <c r="O66" s="425"/>
      <c r="Q66" s="94"/>
      <c r="R66" s="94"/>
      <c r="S66" s="94"/>
    </row>
    <row r="67" spans="1:20">
      <c r="A67" s="465"/>
      <c r="B67" s="466"/>
      <c r="C67" s="467"/>
      <c r="D67" s="466"/>
      <c r="E67" s="468"/>
      <c r="F67" s="469"/>
      <c r="G67" s="468"/>
      <c r="H67" s="470"/>
      <c r="I67" s="470"/>
      <c r="J67" s="471"/>
      <c r="K67" s="471"/>
      <c r="L67" s="471"/>
      <c r="M67" s="471"/>
      <c r="N67" s="471"/>
      <c r="O67" s="457"/>
      <c r="P67" s="457"/>
      <c r="Q67" s="457"/>
      <c r="R67" s="94"/>
      <c r="S67" s="94"/>
    </row>
    <row r="68" spans="1:20">
      <c r="A68" s="420" t="s">
        <v>6956</v>
      </c>
      <c r="B68" s="317" t="s">
        <v>6957</v>
      </c>
      <c r="C68" s="44">
        <v>135735000</v>
      </c>
      <c r="D68" s="317">
        <v>416.55</v>
      </c>
      <c r="E68" s="271" t="s">
        <v>5261</v>
      </c>
      <c r="F68" s="272">
        <f>C68/(D68*1.003631981)</f>
        <v>324676.0223228187</v>
      </c>
      <c r="G68" s="271"/>
      <c r="H68" s="421" t="s">
        <v>6958</v>
      </c>
      <c r="I68" s="421">
        <f>138500000/(F68*0.9912)</f>
        <v>430.36630688697352</v>
      </c>
      <c r="J68" s="20"/>
      <c r="K68" s="20"/>
      <c r="L68" s="20"/>
      <c r="M68" s="20"/>
      <c r="N68" s="20"/>
      <c r="O68" s="457"/>
      <c r="P68" s="457"/>
      <c r="Q68" s="94"/>
      <c r="R68" s="94"/>
      <c r="S68" s="94"/>
      <c r="T68" s="94"/>
    </row>
    <row r="69" spans="1:20">
      <c r="A69" s="94"/>
      <c r="B69" s="94"/>
      <c r="C69" s="94"/>
      <c r="D69" s="94"/>
      <c r="E69" s="94"/>
      <c r="F69" s="94" t="s">
        <v>25</v>
      </c>
      <c r="G69" s="94"/>
      <c r="H69" s="94"/>
      <c r="I69" s="94"/>
      <c r="J69" s="94"/>
      <c r="K69" s="94"/>
      <c r="L69" s="94"/>
      <c r="M69" s="94"/>
      <c r="N69" s="94"/>
      <c r="Q69" s="94"/>
      <c r="R69" s="94" t="s">
        <v>25</v>
      </c>
      <c r="S69" s="94"/>
      <c r="T69" s="94"/>
    </row>
    <row r="70" spans="1:20">
      <c r="A70" s="113"/>
      <c r="B70" s="113"/>
      <c r="C70" s="113"/>
      <c r="D70" s="113"/>
      <c r="E70" s="113"/>
      <c r="F70" s="113"/>
      <c r="G70" s="113"/>
      <c r="H70" s="113"/>
      <c r="I70" s="113"/>
      <c r="J70" s="113"/>
      <c r="K70" s="113"/>
      <c r="L70" s="113"/>
      <c r="M70" s="113"/>
      <c r="N70" s="113"/>
      <c r="P70" t="s">
        <v>6280</v>
      </c>
      <c r="Q70" s="94"/>
      <c r="R70" s="94"/>
      <c r="S70" s="94"/>
      <c r="T70" s="94"/>
    </row>
    <row r="71" spans="1:20">
      <c r="A71" s="97" t="s">
        <v>5508</v>
      </c>
      <c r="B71" s="97"/>
      <c r="C71" s="97" t="s">
        <v>933</v>
      </c>
      <c r="D71" s="97" t="s">
        <v>6277</v>
      </c>
      <c r="E71" s="97"/>
      <c r="F71" s="97" t="s">
        <v>933</v>
      </c>
      <c r="G71" s="97" t="s">
        <v>6278</v>
      </c>
      <c r="H71" s="97"/>
      <c r="I71" s="97"/>
      <c r="J71" s="97"/>
      <c r="K71" s="97"/>
      <c r="L71" s="97" t="s">
        <v>936</v>
      </c>
      <c r="M71" s="97" t="s">
        <v>5</v>
      </c>
      <c r="N71" s="97" t="s">
        <v>6279</v>
      </c>
      <c r="P71">
        <v>1086</v>
      </c>
      <c r="Q71" s="94"/>
      <c r="R71" s="94"/>
      <c r="S71" s="94"/>
      <c r="T71" s="94"/>
    </row>
    <row r="72" spans="1:20" ht="27.75" customHeight="1">
      <c r="A72" s="97" t="s">
        <v>5498</v>
      </c>
      <c r="B72" s="97" t="s">
        <v>6276</v>
      </c>
      <c r="C72" s="97">
        <v>17800</v>
      </c>
      <c r="D72" s="97">
        <v>916</v>
      </c>
      <c r="E72" s="97" t="s">
        <v>4354</v>
      </c>
      <c r="F72" s="97">
        <v>16472</v>
      </c>
      <c r="G72" s="97">
        <v>916</v>
      </c>
      <c r="H72" s="97"/>
      <c r="I72" s="97"/>
      <c r="J72" s="97"/>
      <c r="K72" s="97"/>
      <c r="L72" s="93">
        <v>987467</v>
      </c>
      <c r="M72" s="93">
        <f>L72/2</f>
        <v>493733.5</v>
      </c>
      <c r="N72" s="97" t="s">
        <v>5498</v>
      </c>
      <c r="Q72" s="94"/>
      <c r="R72" s="94"/>
      <c r="S72" s="94"/>
      <c r="T72" s="94"/>
    </row>
    <row r="73" spans="1:20">
      <c r="A73" s="269" t="s">
        <v>5720</v>
      </c>
      <c r="B73" s="439" t="s">
        <v>6355</v>
      </c>
      <c r="C73" s="269">
        <v>21532</v>
      </c>
      <c r="D73" s="269">
        <v>1859</v>
      </c>
      <c r="E73" s="271" t="s">
        <v>6283</v>
      </c>
      <c r="F73" s="271">
        <v>1187</v>
      </c>
      <c r="G73" s="271">
        <f t="shared" ref="G73:G79" si="24">C73*D73*0.99114/(F73*1.0037158)</f>
        <v>33299.467209851166</v>
      </c>
      <c r="H73" s="271">
        <f t="shared" ref="H73:H79" si="25">C73/F73</f>
        <v>18.139848357203032</v>
      </c>
      <c r="I73" s="271">
        <f t="shared" ref="I73:I78" si="26">$S$41/$S$38</f>
        <v>14.591269841269842</v>
      </c>
      <c r="J73" s="97">
        <f t="shared" ref="J73:J79" si="27">I73/H73</f>
        <v>0.80437661627286383</v>
      </c>
      <c r="K73" s="97">
        <f t="shared" ref="K73:K79" si="28">(1/J73-1.0256)*100</f>
        <v>21.759874517681887</v>
      </c>
      <c r="L73" s="93">
        <v>1600000</v>
      </c>
      <c r="M73" s="93">
        <f t="shared" ref="M73:M82" si="29">L73/2</f>
        <v>800000</v>
      </c>
      <c r="N73" s="97" t="s">
        <v>6274</v>
      </c>
      <c r="Q73" s="94"/>
      <c r="R73" s="94"/>
      <c r="S73" s="94"/>
      <c r="T73" s="94"/>
    </row>
    <row r="74" spans="1:20">
      <c r="A74" s="269" t="s">
        <v>5725</v>
      </c>
      <c r="B74" s="269" t="s">
        <v>6282</v>
      </c>
      <c r="C74" s="269">
        <v>22420.1</v>
      </c>
      <c r="D74" s="284">
        <v>1000</v>
      </c>
      <c r="E74" s="271" t="s">
        <v>6284</v>
      </c>
      <c r="F74" s="271">
        <v>1161</v>
      </c>
      <c r="G74" s="271">
        <f t="shared" si="24"/>
        <v>19069.072437793271</v>
      </c>
      <c r="H74" s="271">
        <f t="shared" si="25"/>
        <v>19.311024978466836</v>
      </c>
      <c r="I74" s="271">
        <f t="shared" si="26"/>
        <v>14.591269841269842</v>
      </c>
      <c r="J74" s="97">
        <f t="shared" si="27"/>
        <v>0.75559271750412749</v>
      </c>
      <c r="K74" s="97">
        <f t="shared" si="28"/>
        <v>29.786431726234497</v>
      </c>
      <c r="L74" s="93">
        <v>19462210</v>
      </c>
      <c r="M74" s="93">
        <f t="shared" si="29"/>
        <v>9731105</v>
      </c>
      <c r="N74" s="97" t="s">
        <v>6269</v>
      </c>
      <c r="Q74" s="94"/>
      <c r="R74" s="94"/>
      <c r="S74" s="94"/>
      <c r="T74" s="94"/>
    </row>
    <row r="75" spans="1:20" ht="27.75" customHeight="1">
      <c r="A75" s="269" t="s">
        <v>5726</v>
      </c>
      <c r="B75" s="269" t="s">
        <v>6282</v>
      </c>
      <c r="C75" s="269">
        <v>23233.1</v>
      </c>
      <c r="D75" s="284">
        <v>1000</v>
      </c>
      <c r="E75" s="271" t="s">
        <v>6284</v>
      </c>
      <c r="F75" s="271">
        <v>1152</v>
      </c>
      <c r="G75" s="271">
        <f t="shared" si="24"/>
        <v>19914.936480069027</v>
      </c>
      <c r="H75" s="271">
        <f t="shared" si="25"/>
        <v>20.167621527777776</v>
      </c>
      <c r="I75" s="271">
        <f t="shared" si="26"/>
        <v>14.591269841269842</v>
      </c>
      <c r="J75" s="97">
        <f t="shared" si="27"/>
        <v>0.72349978509724744</v>
      </c>
      <c r="K75" s="97">
        <f t="shared" si="28"/>
        <v>35.657041745988558</v>
      </c>
      <c r="L75" s="93">
        <v>0</v>
      </c>
      <c r="M75" s="93">
        <f t="shared" si="29"/>
        <v>0</v>
      </c>
      <c r="N75" s="97" t="s">
        <v>6269</v>
      </c>
      <c r="P75" t="s">
        <v>25</v>
      </c>
      <c r="Q75" s="94" t="s">
        <v>25</v>
      </c>
      <c r="R75" s="94"/>
      <c r="S75" s="94"/>
      <c r="T75" s="94"/>
    </row>
    <row r="76" spans="1:20">
      <c r="A76" s="269" t="s">
        <v>5728</v>
      </c>
      <c r="B76" s="269" t="s">
        <v>6282</v>
      </c>
      <c r="C76" s="269">
        <v>23900</v>
      </c>
      <c r="D76" s="284">
        <v>1000</v>
      </c>
      <c r="E76" s="271" t="s">
        <v>6285</v>
      </c>
      <c r="F76" s="271">
        <v>1153</v>
      </c>
      <c r="G76" s="271">
        <f t="shared" si="24"/>
        <v>20468.821398374203</v>
      </c>
      <c r="H76" s="271">
        <f t="shared" si="25"/>
        <v>20.7285342584562</v>
      </c>
      <c r="I76" s="271">
        <f t="shared" si="26"/>
        <v>14.591269841269842</v>
      </c>
      <c r="J76" s="97">
        <f t="shared" si="27"/>
        <v>0.70392192999933589</v>
      </c>
      <c r="K76" s="97">
        <f t="shared" si="28"/>
        <v>39.501208407151545</v>
      </c>
      <c r="L76" s="93">
        <v>0</v>
      </c>
      <c r="M76" s="93">
        <f t="shared" si="29"/>
        <v>0</v>
      </c>
      <c r="N76" s="97" t="s">
        <v>6269</v>
      </c>
      <c r="Q76" s="94"/>
      <c r="R76" s="94"/>
      <c r="S76" s="94"/>
      <c r="T76" s="94"/>
    </row>
    <row r="77" spans="1:20">
      <c r="A77" s="269" t="s">
        <v>5738</v>
      </c>
      <c r="B77" s="269" t="s">
        <v>6282</v>
      </c>
      <c r="C77" s="269">
        <v>22500</v>
      </c>
      <c r="D77" s="284">
        <v>2000</v>
      </c>
      <c r="E77" s="271" t="s">
        <v>6284</v>
      </c>
      <c r="F77" s="271">
        <v>1093</v>
      </c>
      <c r="G77" s="271">
        <f t="shared" si="24"/>
        <v>40655.246136679802</v>
      </c>
      <c r="H77" s="271">
        <f t="shared" si="25"/>
        <v>20.585544373284538</v>
      </c>
      <c r="I77" s="271">
        <f t="shared" si="26"/>
        <v>14.591269841269842</v>
      </c>
      <c r="J77" s="97">
        <f t="shared" si="27"/>
        <v>0.70881146384479721</v>
      </c>
      <c r="K77" s="97">
        <f t="shared" si="28"/>
        <v>38.521239653731378</v>
      </c>
      <c r="L77" s="93">
        <v>0</v>
      </c>
      <c r="M77" s="93">
        <f t="shared" si="29"/>
        <v>0</v>
      </c>
      <c r="N77" s="97" t="s">
        <v>6269</v>
      </c>
      <c r="P77" t="s">
        <v>6910</v>
      </c>
      <c r="Q77" s="94"/>
      <c r="R77" s="94" t="s">
        <v>25</v>
      </c>
      <c r="S77" s="94"/>
      <c r="T77" s="94"/>
    </row>
    <row r="78" spans="1:20">
      <c r="A78" s="269" t="s">
        <v>6253</v>
      </c>
      <c r="B78" s="269" t="s">
        <v>6281</v>
      </c>
      <c r="C78" s="269">
        <v>23706</v>
      </c>
      <c r="D78" s="284">
        <v>1000</v>
      </c>
      <c r="E78" s="271" t="s">
        <v>4216</v>
      </c>
      <c r="F78" s="271">
        <v>1155</v>
      </c>
      <c r="G78" s="271">
        <f t="shared" si="24"/>
        <v>20267.516662882761</v>
      </c>
      <c r="H78" s="271">
        <f t="shared" si="25"/>
        <v>20.524675324675325</v>
      </c>
      <c r="I78" s="271">
        <f t="shared" si="26"/>
        <v>14.591269841269842</v>
      </c>
      <c r="J78" s="97">
        <f t="shared" si="27"/>
        <v>0.71091355212463792</v>
      </c>
      <c r="K78" s="97">
        <f t="shared" si="28"/>
        <v>38.104078918090337</v>
      </c>
      <c r="L78" s="93">
        <v>0</v>
      </c>
      <c r="M78" s="93">
        <f t="shared" si="29"/>
        <v>0</v>
      </c>
      <c r="N78" s="97" t="s">
        <v>6269</v>
      </c>
      <c r="P78" t="s">
        <v>25</v>
      </c>
      <c r="Q78" s="94"/>
      <c r="R78" s="94" t="s">
        <v>25</v>
      </c>
      <c r="S78" s="94"/>
      <c r="T78" s="94"/>
    </row>
    <row r="79" spans="1:20">
      <c r="A79" s="60" t="s">
        <v>6253</v>
      </c>
      <c r="B79" s="60" t="s">
        <v>4354</v>
      </c>
      <c r="C79" s="60">
        <v>16794</v>
      </c>
      <c r="D79" s="60">
        <v>2227</v>
      </c>
      <c r="E79" s="271" t="s">
        <v>4216</v>
      </c>
      <c r="F79" s="271">
        <v>1146.6500000000001</v>
      </c>
      <c r="G79" s="271">
        <f t="shared" si="24"/>
        <v>32208.294857700886</v>
      </c>
      <c r="H79" s="271">
        <f t="shared" si="25"/>
        <v>14.646143112545239</v>
      </c>
      <c r="I79" s="271">
        <f>$S$42/$S$38</f>
        <v>0.17460317460317459</v>
      </c>
      <c r="J79" s="97">
        <f t="shared" si="27"/>
        <v>1.1921443977535438E-2</v>
      </c>
      <c r="K79" s="97">
        <f t="shared" si="28"/>
        <v>8285.6856008213654</v>
      </c>
      <c r="L79" s="93">
        <v>3219484</v>
      </c>
      <c r="M79" s="93">
        <f t="shared" si="29"/>
        <v>1609742</v>
      </c>
      <c r="N79" s="97" t="s">
        <v>6259</v>
      </c>
      <c r="Q79" s="94"/>
      <c r="R79" s="94" t="s">
        <v>25</v>
      </c>
      <c r="S79" s="94"/>
      <c r="T79" s="94"/>
    </row>
    <row r="80" spans="1:20">
      <c r="A80" s="20" t="s">
        <v>6362</v>
      </c>
      <c r="B80" s="20" t="s">
        <v>6363</v>
      </c>
      <c r="C80" s="20">
        <v>21350</v>
      </c>
      <c r="D80" s="20">
        <v>639</v>
      </c>
      <c r="E80" s="20" t="s">
        <v>4358</v>
      </c>
      <c r="F80" s="20">
        <v>20666.599999999999</v>
      </c>
      <c r="G80" s="20">
        <v>639</v>
      </c>
      <c r="H80" s="20"/>
      <c r="I80" s="20"/>
      <c r="J80" s="20"/>
      <c r="K80" s="20"/>
      <c r="L80" s="314">
        <v>268731</v>
      </c>
      <c r="M80" s="314">
        <f t="shared" si="29"/>
        <v>134365.5</v>
      </c>
      <c r="N80" s="20" t="s">
        <v>6362</v>
      </c>
      <c r="P80" t="s">
        <v>25</v>
      </c>
      <c r="Q80" s="94"/>
      <c r="R80" s="94" t="s">
        <v>25</v>
      </c>
      <c r="S80" s="94"/>
      <c r="T80" s="94"/>
    </row>
    <row r="81" spans="1:26">
      <c r="A81" s="97" t="s">
        <v>6372</v>
      </c>
      <c r="B81" s="97" t="s">
        <v>6374</v>
      </c>
      <c r="C81" s="97">
        <v>1286.5</v>
      </c>
      <c r="D81" s="97">
        <v>12000</v>
      </c>
      <c r="E81" s="97" t="s">
        <v>4216</v>
      </c>
      <c r="F81" s="97"/>
      <c r="G81" s="97"/>
      <c r="H81" s="97"/>
      <c r="I81" s="97"/>
      <c r="J81" s="97"/>
      <c r="K81" s="97"/>
      <c r="L81" s="314"/>
      <c r="M81" s="314">
        <f t="shared" si="29"/>
        <v>0</v>
      </c>
      <c r="N81" s="97"/>
      <c r="Q81" s="94"/>
      <c r="R81" s="94" t="s">
        <v>25</v>
      </c>
      <c r="S81" s="94"/>
      <c r="T81" s="94"/>
    </row>
    <row r="82" spans="1:26" ht="30">
      <c r="A82" s="97" t="s">
        <v>6373</v>
      </c>
      <c r="B82" s="97" t="s">
        <v>6374</v>
      </c>
      <c r="C82" s="97">
        <v>1275</v>
      </c>
      <c r="D82" s="97">
        <v>9000</v>
      </c>
      <c r="E82" s="97" t="s">
        <v>4216</v>
      </c>
      <c r="F82" s="97">
        <v>1314</v>
      </c>
      <c r="G82" s="97">
        <v>9000</v>
      </c>
      <c r="H82" s="97"/>
      <c r="I82" s="97"/>
      <c r="J82" s="97"/>
      <c r="K82" s="97"/>
      <c r="L82" s="314">
        <v>191456</v>
      </c>
      <c r="M82" s="314">
        <f t="shared" si="29"/>
        <v>95728</v>
      </c>
      <c r="N82" s="36" t="s">
        <v>6388</v>
      </c>
      <c r="Q82" s="94"/>
      <c r="R82" s="94" t="s">
        <v>25</v>
      </c>
      <c r="S82" s="94"/>
      <c r="T82" s="94"/>
    </row>
    <row r="83" spans="1:26">
      <c r="A83" s="97" t="s">
        <v>6373</v>
      </c>
      <c r="B83" s="97" t="s">
        <v>6363</v>
      </c>
      <c r="C83" s="97">
        <v>19703</v>
      </c>
      <c r="D83" s="97">
        <v>210</v>
      </c>
      <c r="E83" s="97" t="s">
        <v>4358</v>
      </c>
      <c r="F83" s="97">
        <v>20548.900000000001</v>
      </c>
      <c r="G83" s="97">
        <v>210</v>
      </c>
      <c r="H83" s="97"/>
      <c r="I83" s="97"/>
      <c r="J83" s="97"/>
      <c r="K83" s="97"/>
      <c r="L83" s="314">
        <v>124637</v>
      </c>
      <c r="M83" s="314">
        <f>L83/2</f>
        <v>62318.5</v>
      </c>
      <c r="N83" s="97" t="s">
        <v>6375</v>
      </c>
      <c r="P83" t="s">
        <v>25</v>
      </c>
      <c r="Q83" s="94" t="s">
        <v>25</v>
      </c>
      <c r="R83" s="94" t="s">
        <v>25</v>
      </c>
      <c r="S83" s="94"/>
      <c r="T83" s="94"/>
    </row>
    <row r="84" spans="1:26">
      <c r="A84" s="97" t="s">
        <v>6375</v>
      </c>
      <c r="B84" s="97" t="s">
        <v>6374</v>
      </c>
      <c r="C84" s="97">
        <v>1266.5</v>
      </c>
      <c r="D84" s="97">
        <v>8000</v>
      </c>
      <c r="E84" s="97" t="s">
        <v>4216</v>
      </c>
      <c r="F84" s="97">
        <v>1301</v>
      </c>
      <c r="G84" s="97">
        <v>8000</v>
      </c>
      <c r="H84" s="97"/>
      <c r="I84" s="97"/>
      <c r="J84" s="97"/>
      <c r="K84" s="97"/>
      <c r="L84" s="314">
        <v>146805</v>
      </c>
      <c r="M84" s="314">
        <f>L84/2</f>
        <v>73402.5</v>
      </c>
      <c r="N84" s="97" t="s">
        <v>6375</v>
      </c>
      <c r="Q84" s="94" t="s">
        <v>25</v>
      </c>
      <c r="R84" s="112" t="s">
        <v>25</v>
      </c>
      <c r="S84" s="94"/>
      <c r="T84" s="94"/>
    </row>
    <row r="85" spans="1:26" ht="30">
      <c r="A85" s="36" t="s">
        <v>6389</v>
      </c>
      <c r="B85" s="97" t="s">
        <v>6374</v>
      </c>
      <c r="C85" s="97" t="s">
        <v>6390</v>
      </c>
      <c r="D85" s="97">
        <v>21000</v>
      </c>
      <c r="E85" s="97" t="s">
        <v>4216</v>
      </c>
      <c r="F85" s="97">
        <v>1312</v>
      </c>
      <c r="G85" s="97">
        <v>21000</v>
      </c>
      <c r="H85" s="97"/>
      <c r="I85" s="97"/>
      <c r="J85" s="97"/>
      <c r="K85" s="97"/>
      <c r="L85" s="314">
        <v>345822</v>
      </c>
      <c r="M85" s="314">
        <f>L85/2</f>
        <v>172911</v>
      </c>
      <c r="N85" s="97" t="s">
        <v>6391</v>
      </c>
      <c r="P85" t="s">
        <v>25</v>
      </c>
      <c r="Q85" s="94" t="s">
        <v>25</v>
      </c>
      <c r="R85" s="112" t="s">
        <v>25</v>
      </c>
      <c r="S85" s="94" t="s">
        <v>25</v>
      </c>
      <c r="T85" s="94"/>
    </row>
    <row r="86" spans="1:26">
      <c r="A86" s="97"/>
      <c r="B86" s="97"/>
      <c r="C86" s="97"/>
      <c r="D86" s="97"/>
      <c r="E86" s="97"/>
      <c r="F86" s="97"/>
      <c r="G86" s="97"/>
      <c r="H86" s="97"/>
      <c r="I86" s="97"/>
      <c r="J86" s="97"/>
      <c r="K86" s="97" t="s">
        <v>25</v>
      </c>
      <c r="L86" s="314"/>
      <c r="M86" s="314"/>
      <c r="N86" s="97"/>
      <c r="P86" t="s">
        <v>25</v>
      </c>
      <c r="Q86" s="94" t="s">
        <v>25</v>
      </c>
      <c r="R86" s="112"/>
      <c r="S86" s="94" t="s">
        <v>25</v>
      </c>
      <c r="T86" s="94"/>
    </row>
    <row r="87" spans="1:26">
      <c r="A87" s="94"/>
      <c r="N87" s="94"/>
      <c r="Q87" s="94" t="s">
        <v>25</v>
      </c>
      <c r="R87" s="94"/>
      <c r="S87" s="120" t="s">
        <v>25</v>
      </c>
      <c r="T87" s="94"/>
    </row>
    <row r="88" spans="1:26">
      <c r="A88" s="94"/>
      <c r="Q88" s="94" t="s">
        <v>25</v>
      </c>
      <c r="R88" s="94"/>
      <c r="S88" s="94" t="s">
        <v>25</v>
      </c>
      <c r="T88" s="94"/>
    </row>
    <row r="89" spans="1:26">
      <c r="A89" s="97" t="s">
        <v>6270</v>
      </c>
      <c r="B89" s="97"/>
      <c r="C89" s="97" t="s">
        <v>920</v>
      </c>
      <c r="D89" s="97" t="s">
        <v>933</v>
      </c>
      <c r="E89" s="97" t="s">
        <v>920</v>
      </c>
      <c r="F89" s="97" t="s">
        <v>933</v>
      </c>
      <c r="G89" s="97" t="s">
        <v>936</v>
      </c>
      <c r="H89" s="97" t="s">
        <v>5</v>
      </c>
      <c r="I89" s="97" t="s">
        <v>6385</v>
      </c>
      <c r="J89" s="97"/>
      <c r="K89" s="97"/>
      <c r="L89" s="97"/>
      <c r="M89" s="97"/>
      <c r="N89" s="97"/>
      <c r="P89" s="94"/>
      <c r="Q89" s="94"/>
      <c r="S89" s="94" t="s">
        <v>25</v>
      </c>
      <c r="T89" s="94"/>
    </row>
    <row r="90" spans="1:26">
      <c r="A90" s="97" t="s">
        <v>6269</v>
      </c>
      <c r="B90" s="97" t="s">
        <v>4216</v>
      </c>
      <c r="C90" s="97">
        <v>33874</v>
      </c>
      <c r="D90" s="112">
        <v>1240</v>
      </c>
      <c r="E90" s="97">
        <v>33874</v>
      </c>
      <c r="F90" s="93">
        <v>1278</v>
      </c>
      <c r="G90" s="93">
        <v>750337</v>
      </c>
      <c r="H90" s="93">
        <f>G90/2</f>
        <v>375168.5</v>
      </c>
      <c r="I90" s="97">
        <v>0</v>
      </c>
      <c r="J90" s="97"/>
      <c r="K90" s="97"/>
      <c r="L90" s="97"/>
      <c r="M90" s="97"/>
      <c r="N90" s="97"/>
      <c r="P90" s="94"/>
      <c r="Q90" s="94"/>
      <c r="S90" s="94"/>
      <c r="T90" s="94"/>
    </row>
    <row r="91" spans="1:26">
      <c r="A91" s="97" t="s">
        <v>6274</v>
      </c>
      <c r="B91" s="97" t="s">
        <v>4216</v>
      </c>
      <c r="C91" s="97">
        <v>33274</v>
      </c>
      <c r="D91" s="97">
        <v>1291</v>
      </c>
      <c r="E91" s="97">
        <v>33274</v>
      </c>
      <c r="F91" s="97">
        <v>1314.3</v>
      </c>
      <c r="G91" s="93">
        <v>229922</v>
      </c>
      <c r="H91" s="93">
        <f>G91/2</f>
        <v>114961</v>
      </c>
      <c r="I91" s="97">
        <v>0</v>
      </c>
      <c r="J91" s="97" t="s">
        <v>25</v>
      </c>
      <c r="K91" s="97"/>
      <c r="L91" s="97"/>
      <c r="M91" s="97"/>
      <c r="N91" s="97"/>
      <c r="P91" s="94"/>
      <c r="Q91" s="94"/>
      <c r="S91" s="94"/>
      <c r="T91" s="94"/>
    </row>
    <row r="92" spans="1:26">
      <c r="A92" s="97" t="s">
        <v>6366</v>
      </c>
      <c r="B92" s="97" t="s">
        <v>4216</v>
      </c>
      <c r="C92" s="97">
        <v>2838</v>
      </c>
      <c r="D92" s="97">
        <v>1302</v>
      </c>
      <c r="E92" s="97">
        <v>2838</v>
      </c>
      <c r="F92" s="97">
        <v>1320</v>
      </c>
      <c r="G92" s="93">
        <v>4540</v>
      </c>
      <c r="H92" s="93">
        <f>G92/2</f>
        <v>2270</v>
      </c>
      <c r="I92" s="97">
        <v>0</v>
      </c>
      <c r="J92" s="97"/>
      <c r="K92" s="97"/>
      <c r="L92" s="97"/>
      <c r="M92" s="97"/>
      <c r="N92" s="97"/>
      <c r="P92" s="94"/>
      <c r="Q92" s="94"/>
      <c r="S92" s="94"/>
      <c r="T92" s="94"/>
    </row>
    <row r="93" spans="1:26">
      <c r="A93" s="20" t="s">
        <v>6366</v>
      </c>
      <c r="B93" s="20" t="s">
        <v>4216</v>
      </c>
      <c r="C93" s="20">
        <v>28000</v>
      </c>
      <c r="D93" s="20">
        <v>1302</v>
      </c>
      <c r="E93" s="20">
        <v>28000</v>
      </c>
      <c r="F93" s="20">
        <v>1345</v>
      </c>
      <c r="G93" s="93">
        <v>737130</v>
      </c>
      <c r="H93" s="93">
        <f>G93/2</f>
        <v>368565</v>
      </c>
      <c r="I93" s="20" t="s">
        <v>6371</v>
      </c>
      <c r="J93" s="20"/>
      <c r="K93" s="97"/>
      <c r="L93" s="97"/>
      <c r="M93" s="97"/>
      <c r="N93" s="97"/>
      <c r="P93" s="94"/>
      <c r="S93" s="94"/>
      <c r="T93" s="94"/>
    </row>
    <row r="94" spans="1:26">
      <c r="A94" s="159" t="s">
        <v>6371</v>
      </c>
      <c r="B94" s="159" t="s">
        <v>4216</v>
      </c>
      <c r="C94" s="159">
        <v>28000</v>
      </c>
      <c r="D94" s="159">
        <v>1306.5</v>
      </c>
      <c r="E94" s="159">
        <v>28000</v>
      </c>
      <c r="F94" s="159">
        <v>1358.5</v>
      </c>
      <c r="G94" s="159">
        <v>985488</v>
      </c>
      <c r="H94" s="159">
        <f>G94/2</f>
        <v>492744</v>
      </c>
      <c r="I94" s="97" t="s">
        <v>6384</v>
      </c>
      <c r="J94" s="97"/>
      <c r="K94" s="97"/>
      <c r="L94" s="97"/>
      <c r="M94" s="97"/>
      <c r="N94" s="97"/>
      <c r="O94" s="94"/>
      <c r="P94" s="94"/>
      <c r="R94" t="s">
        <v>25</v>
      </c>
    </row>
    <row r="95" spans="1:26">
      <c r="A95" s="97"/>
      <c r="B95" s="97"/>
      <c r="C95" s="97"/>
      <c r="D95" s="97"/>
      <c r="E95" s="97"/>
      <c r="F95" s="97"/>
      <c r="G95" s="97"/>
      <c r="H95" s="97"/>
      <c r="I95" s="97"/>
      <c r="J95" s="97"/>
      <c r="K95" s="97"/>
      <c r="L95" s="97"/>
      <c r="M95" s="97"/>
      <c r="N95" s="97"/>
      <c r="O95" s="94"/>
      <c r="P95" s="94"/>
    </row>
    <row r="96" spans="1:26">
      <c r="A96" s="97"/>
      <c r="B96" s="97"/>
      <c r="C96" s="97"/>
      <c r="D96" s="97"/>
      <c r="E96" s="97"/>
      <c r="F96" s="97"/>
      <c r="G96" s="97"/>
      <c r="H96" s="97"/>
      <c r="I96" s="97"/>
      <c r="J96" s="97"/>
      <c r="K96" s="97"/>
      <c r="L96" s="97"/>
      <c r="M96" s="97"/>
      <c r="N96" s="97"/>
      <c r="O96" s="94"/>
      <c r="P96" s="94"/>
      <c r="Z96" t="s">
        <v>25</v>
      </c>
    </row>
    <row r="97" spans="1:27">
      <c r="O97" s="94"/>
      <c r="P97" s="94"/>
    </row>
    <row r="98" spans="1:27">
      <c r="O98" s="94"/>
      <c r="P98" s="94"/>
    </row>
    <row r="99" spans="1:27">
      <c r="O99" s="94"/>
      <c r="P99" s="94"/>
      <c r="Q99" t="s">
        <v>25</v>
      </c>
      <c r="AA99" t="s">
        <v>25</v>
      </c>
    </row>
    <row r="100" spans="1:27">
      <c r="A100" s="94"/>
      <c r="B100" s="94"/>
      <c r="C100" s="94"/>
      <c r="D100" s="94"/>
      <c r="E100" s="94"/>
      <c r="O100" s="94"/>
      <c r="P100" s="94"/>
    </row>
    <row r="101" spans="1:27">
      <c r="A101" s="94"/>
      <c r="B101" s="94">
        <v>1441</v>
      </c>
      <c r="C101" s="94"/>
      <c r="D101" s="94"/>
      <c r="E101" s="94"/>
      <c r="O101" s="94"/>
      <c r="P101" s="94"/>
    </row>
    <row r="102" spans="1:27">
      <c r="A102" s="94"/>
      <c r="B102" s="94"/>
      <c r="C102" s="94"/>
      <c r="D102" s="94"/>
      <c r="E102" s="94"/>
      <c r="O102" s="94"/>
      <c r="P102" s="94"/>
    </row>
    <row r="103" spans="1:27">
      <c r="A103" s="94">
        <v>900</v>
      </c>
      <c r="B103" s="94">
        <v>630</v>
      </c>
      <c r="C103" s="94">
        <f>$B$101-B103</f>
        <v>811</v>
      </c>
      <c r="D103" s="94">
        <f>(A103-C103)*100/C103</f>
        <v>10.974106041923552</v>
      </c>
      <c r="E103" s="94"/>
      <c r="P103" s="94"/>
    </row>
    <row r="104" spans="1:27">
      <c r="A104" s="94">
        <v>1000</v>
      </c>
      <c r="B104" s="94">
        <v>550</v>
      </c>
      <c r="C104" s="419">
        <f>$B$101-B104</f>
        <v>891</v>
      </c>
      <c r="D104" s="419">
        <f>(A104-C104)*100/C104</f>
        <v>12.233445566778901</v>
      </c>
      <c r="E104" s="94"/>
      <c r="O104" s="94"/>
      <c r="P104" s="94"/>
      <c r="Q104" t="s">
        <v>25</v>
      </c>
      <c r="R104" t="s">
        <v>25</v>
      </c>
    </row>
    <row r="105" spans="1:27">
      <c r="A105" s="94">
        <v>1200</v>
      </c>
      <c r="B105" s="94">
        <v>460</v>
      </c>
      <c r="C105" s="419">
        <f>$B$101-B105</f>
        <v>981</v>
      </c>
      <c r="D105" s="419">
        <f>(A105-C105)*100/C105</f>
        <v>22.324159021406729</v>
      </c>
      <c r="E105" s="94"/>
      <c r="K105" t="s">
        <v>25</v>
      </c>
      <c r="O105" s="94"/>
      <c r="P105" s="94"/>
    </row>
    <row r="106" spans="1:27">
      <c r="A106" s="94">
        <v>1400</v>
      </c>
      <c r="B106">
        <v>260</v>
      </c>
      <c r="C106" s="419">
        <f>$B$101-B106</f>
        <v>1181</v>
      </c>
      <c r="D106" s="419">
        <f>(A106-C106)*100/C106</f>
        <v>18.543607112616428</v>
      </c>
      <c r="H106">
        <v>66597</v>
      </c>
      <c r="J106" t="s">
        <v>25</v>
      </c>
      <c r="O106" s="94"/>
      <c r="P106" s="94"/>
    </row>
    <row r="107" spans="1:27">
      <c r="A107" s="94"/>
      <c r="O107" s="94"/>
      <c r="P107" s="94"/>
      <c r="Z107" t="s">
        <v>25</v>
      </c>
    </row>
    <row r="108" spans="1:27">
      <c r="A108" s="94"/>
      <c r="O108" s="94"/>
      <c r="P108" s="94"/>
    </row>
    <row r="109" spans="1:27">
      <c r="A109" s="94"/>
      <c r="H109">
        <v>31500</v>
      </c>
      <c r="O109" s="94"/>
      <c r="P109" s="94"/>
    </row>
    <row r="110" spans="1:27">
      <c r="A110" s="94"/>
      <c r="H110">
        <v>34120</v>
      </c>
      <c r="O110" s="94"/>
      <c r="P110" s="94"/>
    </row>
    <row r="111" spans="1:27">
      <c r="A111" s="94"/>
      <c r="O111" s="94"/>
      <c r="P111" s="94"/>
    </row>
    <row r="112" spans="1:27">
      <c r="A112" s="94"/>
      <c r="O112" s="94"/>
      <c r="P112" s="94" t="s">
        <v>25</v>
      </c>
    </row>
    <row r="113" spans="1:19">
      <c r="A113" s="94"/>
      <c r="O113" s="94"/>
      <c r="P113" s="94" t="s">
        <v>25</v>
      </c>
    </row>
    <row r="114" spans="1:19">
      <c r="A114" s="94"/>
      <c r="O114" s="94" t="s">
        <v>25</v>
      </c>
      <c r="P114" s="94"/>
      <c r="R114" t="s">
        <v>25</v>
      </c>
    </row>
    <row r="115" spans="1:19" ht="27" customHeight="1">
      <c r="A115" s="94"/>
      <c r="O115" s="94"/>
      <c r="P115" s="94" t="s">
        <v>25</v>
      </c>
      <c r="Q115" t="s">
        <v>25</v>
      </c>
      <c r="R115" t="s">
        <v>25</v>
      </c>
    </row>
    <row r="116" spans="1:19">
      <c r="A116" s="94"/>
      <c r="D116">
        <v>28000</v>
      </c>
      <c r="O116" s="94"/>
      <c r="P116" s="94" t="s">
        <v>25</v>
      </c>
      <c r="R116" s="281" t="s">
        <v>5649</v>
      </c>
    </row>
    <row r="117" spans="1:19">
      <c r="A117" s="94"/>
      <c r="O117" s="94" t="s">
        <v>25</v>
      </c>
      <c r="P117" s="94" t="s">
        <v>25</v>
      </c>
      <c r="Q117" t="s">
        <v>25</v>
      </c>
      <c r="R117" t="s">
        <v>25</v>
      </c>
    </row>
    <row r="118" spans="1:19">
      <c r="A118" s="94" t="s">
        <v>6831</v>
      </c>
      <c r="B118">
        <v>10330</v>
      </c>
      <c r="C118">
        <v>11900</v>
      </c>
      <c r="D118" s="112">
        <f t="shared" ref="D118:D140" si="30">B118*$D$116</f>
        <v>289240000</v>
      </c>
      <c r="E118" s="112">
        <f t="shared" ref="E118:E140" si="31">C118*$D$116</f>
        <v>333200000</v>
      </c>
      <c r="F118" s="112">
        <v>440000000</v>
      </c>
      <c r="G118">
        <f>(F118-E118)*100/E118</f>
        <v>32.052821128451377</v>
      </c>
      <c r="O118" s="94" t="s">
        <v>25</v>
      </c>
      <c r="P118" s="94" t="s">
        <v>25</v>
      </c>
      <c r="R118" t="s">
        <v>25</v>
      </c>
    </row>
    <row r="119" spans="1:19">
      <c r="A119" s="94" t="s">
        <v>6832</v>
      </c>
      <c r="C119">
        <v>18000</v>
      </c>
      <c r="D119" s="112">
        <f t="shared" si="30"/>
        <v>0</v>
      </c>
      <c r="E119" s="112">
        <f t="shared" si="31"/>
        <v>504000000</v>
      </c>
      <c r="F119" s="112">
        <v>700000000</v>
      </c>
      <c r="G119" s="418">
        <f t="shared" ref="G119:G136" si="32">(F119-E119)*100/E119</f>
        <v>38.888888888888886</v>
      </c>
      <c r="O119" s="94"/>
      <c r="P119" s="94" t="s">
        <v>25</v>
      </c>
      <c r="Q119" t="s">
        <v>25</v>
      </c>
      <c r="R119" t="s">
        <v>25</v>
      </c>
    </row>
    <row r="120" spans="1:19">
      <c r="A120" s="94" t="s">
        <v>6833</v>
      </c>
      <c r="C120">
        <v>19000</v>
      </c>
      <c r="D120" s="112">
        <f t="shared" si="30"/>
        <v>0</v>
      </c>
      <c r="E120" s="112">
        <f t="shared" si="31"/>
        <v>532000000</v>
      </c>
      <c r="F120" s="112">
        <v>650000000</v>
      </c>
      <c r="G120" s="418">
        <f t="shared" si="32"/>
        <v>22.180451127819548</v>
      </c>
      <c r="O120" s="94"/>
      <c r="P120" s="94" t="s">
        <v>25</v>
      </c>
    </row>
    <row r="121" spans="1:19">
      <c r="A121" s="94" t="s">
        <v>6834</v>
      </c>
      <c r="C121">
        <v>23000</v>
      </c>
      <c r="D121" s="112">
        <f t="shared" si="30"/>
        <v>0</v>
      </c>
      <c r="E121" s="112">
        <f t="shared" si="31"/>
        <v>644000000</v>
      </c>
      <c r="F121" s="112">
        <v>930000000</v>
      </c>
      <c r="G121" s="418">
        <f t="shared" si="32"/>
        <v>44.409937888198755</v>
      </c>
      <c r="O121" s="94"/>
      <c r="P121" s="94" t="s">
        <v>25</v>
      </c>
    </row>
    <row r="122" spans="1:19">
      <c r="A122" s="94" t="s">
        <v>6835</v>
      </c>
      <c r="C122">
        <v>13000</v>
      </c>
      <c r="D122" s="112">
        <f t="shared" si="30"/>
        <v>0</v>
      </c>
      <c r="E122" s="112">
        <f t="shared" si="31"/>
        <v>364000000</v>
      </c>
      <c r="F122" s="112">
        <v>600000000</v>
      </c>
      <c r="G122" s="418">
        <f t="shared" si="32"/>
        <v>64.835164835164832</v>
      </c>
      <c r="O122" s="94"/>
      <c r="R122" t="s">
        <v>25</v>
      </c>
    </row>
    <row r="123" spans="1:19">
      <c r="A123" s="94" t="s">
        <v>6836</v>
      </c>
      <c r="C123">
        <v>13000</v>
      </c>
      <c r="D123" s="112">
        <f t="shared" si="30"/>
        <v>0</v>
      </c>
      <c r="E123" s="112">
        <f t="shared" si="31"/>
        <v>364000000</v>
      </c>
      <c r="F123" s="112">
        <v>400000000</v>
      </c>
      <c r="G123" s="418">
        <f t="shared" si="32"/>
        <v>9.8901098901098905</v>
      </c>
      <c r="O123" s="94"/>
      <c r="P123" t="s">
        <v>25</v>
      </c>
      <c r="R123" t="s">
        <v>25</v>
      </c>
      <c r="S123" t="s">
        <v>25</v>
      </c>
    </row>
    <row r="124" spans="1:19">
      <c r="A124" s="94" t="s">
        <v>6837</v>
      </c>
      <c r="C124">
        <v>13600</v>
      </c>
      <c r="D124" s="112">
        <f t="shared" si="30"/>
        <v>0</v>
      </c>
      <c r="E124" s="112">
        <f t="shared" si="31"/>
        <v>380800000</v>
      </c>
      <c r="F124" s="112">
        <v>520000000</v>
      </c>
      <c r="G124" s="418">
        <f t="shared" si="32"/>
        <v>36.554621848739494</v>
      </c>
      <c r="S124" t="s">
        <v>25</v>
      </c>
    </row>
    <row r="125" spans="1:19">
      <c r="A125" s="94" t="s">
        <v>6838</v>
      </c>
      <c r="C125">
        <v>28000</v>
      </c>
      <c r="D125" s="112">
        <f t="shared" si="30"/>
        <v>0</v>
      </c>
      <c r="E125" s="112">
        <f t="shared" si="31"/>
        <v>784000000</v>
      </c>
      <c r="F125" s="112">
        <v>900000000</v>
      </c>
      <c r="G125" s="418">
        <f t="shared" si="32"/>
        <v>14.795918367346939</v>
      </c>
      <c r="S125" t="s">
        <v>25</v>
      </c>
    </row>
    <row r="126" spans="1:19">
      <c r="A126" s="94" t="s">
        <v>6839</v>
      </c>
      <c r="C126">
        <v>19000</v>
      </c>
      <c r="D126" s="112">
        <f t="shared" si="30"/>
        <v>0</v>
      </c>
      <c r="E126" s="112">
        <f t="shared" si="31"/>
        <v>532000000</v>
      </c>
      <c r="F126" s="112">
        <v>700000000</v>
      </c>
      <c r="G126" s="418">
        <f t="shared" si="32"/>
        <v>31.578947368421051</v>
      </c>
      <c r="O126" t="s">
        <v>25</v>
      </c>
      <c r="R126" t="s">
        <v>25</v>
      </c>
      <c r="S126" t="s">
        <v>25</v>
      </c>
    </row>
    <row r="127" spans="1:19">
      <c r="A127" s="94" t="s">
        <v>6840</v>
      </c>
      <c r="C127">
        <v>15000</v>
      </c>
      <c r="D127" s="112">
        <f t="shared" si="30"/>
        <v>0</v>
      </c>
      <c r="E127" s="112">
        <f t="shared" si="31"/>
        <v>420000000</v>
      </c>
      <c r="F127" s="112">
        <v>700000000</v>
      </c>
      <c r="G127" s="418">
        <f t="shared" si="32"/>
        <v>66.666666666666671</v>
      </c>
      <c r="P127" t="s">
        <v>25</v>
      </c>
      <c r="S127" t="s">
        <v>25</v>
      </c>
    </row>
    <row r="128" spans="1:19">
      <c r="A128" s="94" t="s">
        <v>6841</v>
      </c>
      <c r="C128">
        <v>21000</v>
      </c>
      <c r="D128" s="112">
        <f t="shared" si="30"/>
        <v>0</v>
      </c>
      <c r="E128" s="112">
        <f t="shared" si="31"/>
        <v>588000000</v>
      </c>
      <c r="F128" s="112">
        <v>700000000</v>
      </c>
      <c r="G128" s="418">
        <f t="shared" si="32"/>
        <v>19.047619047619047</v>
      </c>
      <c r="P128" t="s">
        <v>25</v>
      </c>
      <c r="Q128" t="s">
        <v>25</v>
      </c>
      <c r="R128" t="s">
        <v>25</v>
      </c>
    </row>
    <row r="129" spans="1:21">
      <c r="A129" s="94" t="s">
        <v>6842</v>
      </c>
      <c r="C129">
        <v>17000</v>
      </c>
      <c r="D129" s="112">
        <f t="shared" si="30"/>
        <v>0</v>
      </c>
      <c r="E129" s="112">
        <f t="shared" si="31"/>
        <v>476000000</v>
      </c>
      <c r="F129" s="112">
        <v>700000000</v>
      </c>
      <c r="G129" s="418">
        <f t="shared" si="32"/>
        <v>47.058823529411768</v>
      </c>
      <c r="O129" t="s">
        <v>25</v>
      </c>
      <c r="P129" t="s">
        <v>25</v>
      </c>
      <c r="Q129" t="s">
        <v>25</v>
      </c>
    </row>
    <row r="130" spans="1:21">
      <c r="A130" t="s">
        <v>6843</v>
      </c>
      <c r="C130">
        <v>11000</v>
      </c>
      <c r="D130" s="112">
        <f t="shared" si="30"/>
        <v>0</v>
      </c>
      <c r="E130" s="112">
        <f t="shared" si="31"/>
        <v>308000000</v>
      </c>
      <c r="F130" s="112">
        <v>370000000</v>
      </c>
      <c r="G130" s="418">
        <f t="shared" si="32"/>
        <v>20.129870129870131</v>
      </c>
      <c r="P130" t="s">
        <v>25</v>
      </c>
      <c r="R130" t="s">
        <v>25</v>
      </c>
      <c r="S130" t="s">
        <v>25</v>
      </c>
      <c r="T130" t="s">
        <v>25</v>
      </c>
    </row>
    <row r="131" spans="1:21">
      <c r="D131" s="112">
        <f t="shared" si="30"/>
        <v>0</v>
      </c>
      <c r="E131" s="112">
        <f t="shared" si="31"/>
        <v>0</v>
      </c>
      <c r="F131" s="112"/>
      <c r="G131" s="418" t="e">
        <f t="shared" si="32"/>
        <v>#DIV/0!</v>
      </c>
      <c r="O131" t="s">
        <v>25</v>
      </c>
      <c r="R131" t="s">
        <v>25</v>
      </c>
      <c r="S131" t="s">
        <v>25</v>
      </c>
    </row>
    <row r="132" spans="1:21">
      <c r="D132" s="112">
        <f t="shared" si="30"/>
        <v>0</v>
      </c>
      <c r="E132" s="112">
        <f t="shared" si="31"/>
        <v>0</v>
      </c>
      <c r="F132" s="112"/>
      <c r="G132" s="418" t="e">
        <f t="shared" si="32"/>
        <v>#DIV/0!</v>
      </c>
      <c r="P132" t="s">
        <v>25</v>
      </c>
      <c r="Q132" t="s">
        <v>25</v>
      </c>
      <c r="R132" t="s">
        <v>25</v>
      </c>
    </row>
    <row r="133" spans="1:21">
      <c r="D133" s="112">
        <f t="shared" si="30"/>
        <v>0</v>
      </c>
      <c r="E133" s="112">
        <f t="shared" si="31"/>
        <v>0</v>
      </c>
      <c r="F133" s="112"/>
      <c r="G133" s="418" t="e">
        <f t="shared" si="32"/>
        <v>#DIV/0!</v>
      </c>
      <c r="P133" t="s">
        <v>25</v>
      </c>
      <c r="Q133" t="s">
        <v>25</v>
      </c>
      <c r="S133" t="s">
        <v>25</v>
      </c>
    </row>
    <row r="134" spans="1:21">
      <c r="D134" s="112">
        <f t="shared" si="30"/>
        <v>0</v>
      </c>
      <c r="E134" s="112">
        <f t="shared" si="31"/>
        <v>0</v>
      </c>
      <c r="F134" s="112"/>
      <c r="G134" s="418" t="e">
        <f t="shared" si="32"/>
        <v>#DIV/0!</v>
      </c>
      <c r="P134" t="s">
        <v>25</v>
      </c>
    </row>
    <row r="135" spans="1:21">
      <c r="D135" s="112">
        <f t="shared" si="30"/>
        <v>0</v>
      </c>
      <c r="E135" s="112">
        <f t="shared" si="31"/>
        <v>0</v>
      </c>
      <c r="F135" s="112"/>
      <c r="G135" s="418" t="e">
        <f t="shared" si="32"/>
        <v>#DIV/0!</v>
      </c>
      <c r="P135" t="s">
        <v>25</v>
      </c>
      <c r="Q135" t="s">
        <v>25</v>
      </c>
      <c r="R135" t="s">
        <v>25</v>
      </c>
    </row>
    <row r="136" spans="1:21">
      <c r="D136" s="112">
        <f t="shared" si="30"/>
        <v>0</v>
      </c>
      <c r="E136" s="112">
        <f t="shared" si="31"/>
        <v>0</v>
      </c>
      <c r="F136" s="112"/>
      <c r="G136" s="418" t="e">
        <f t="shared" si="32"/>
        <v>#DIV/0!</v>
      </c>
      <c r="O136" t="s">
        <v>25</v>
      </c>
      <c r="P136" t="s">
        <v>25</v>
      </c>
    </row>
    <row r="137" spans="1:21">
      <c r="D137" s="112">
        <f t="shared" si="30"/>
        <v>0</v>
      </c>
      <c r="E137" s="112">
        <f t="shared" si="31"/>
        <v>0</v>
      </c>
      <c r="R137" t="s">
        <v>25</v>
      </c>
      <c r="S137" t="s">
        <v>25</v>
      </c>
    </row>
    <row r="138" spans="1:21">
      <c r="D138" s="112">
        <f t="shared" si="30"/>
        <v>0</v>
      </c>
      <c r="E138" s="112">
        <f t="shared" si="31"/>
        <v>0</v>
      </c>
    </row>
    <row r="139" spans="1:21">
      <c r="D139" s="112">
        <f t="shared" si="30"/>
        <v>0</v>
      </c>
      <c r="E139" s="112">
        <f t="shared" si="31"/>
        <v>0</v>
      </c>
      <c r="R139" t="s">
        <v>25</v>
      </c>
    </row>
    <row r="140" spans="1:21">
      <c r="D140" s="112">
        <f t="shared" si="30"/>
        <v>0</v>
      </c>
      <c r="E140" s="112">
        <f t="shared" si="31"/>
        <v>0</v>
      </c>
      <c r="P140" t="s">
        <v>25</v>
      </c>
      <c r="R140" t="s">
        <v>25</v>
      </c>
      <c r="U140" t="s">
        <v>25</v>
      </c>
    </row>
    <row r="141" spans="1:21">
      <c r="P141" t="s">
        <v>25</v>
      </c>
      <c r="R141" t="s">
        <v>25</v>
      </c>
      <c r="S141" t="s">
        <v>25</v>
      </c>
    </row>
    <row r="142" spans="1:21">
      <c r="R142" t="s">
        <v>25</v>
      </c>
    </row>
    <row r="143" spans="1:21">
      <c r="Q143" t="s">
        <v>25</v>
      </c>
    </row>
    <row r="144" spans="1:21">
      <c r="P144" t="s">
        <v>25</v>
      </c>
    </row>
    <row r="146" spans="15:18">
      <c r="P146" t="s">
        <v>25</v>
      </c>
    </row>
    <row r="147" spans="15:18">
      <c r="P147" t="s">
        <v>25</v>
      </c>
    </row>
    <row r="148" spans="15:18">
      <c r="P148" s="94" t="s">
        <v>25</v>
      </c>
    </row>
    <row r="149" spans="15:18">
      <c r="O149" t="s">
        <v>25</v>
      </c>
    </row>
    <row r="150" spans="15:18">
      <c r="P150" t="s">
        <v>25</v>
      </c>
    </row>
    <row r="151" spans="15:18">
      <c r="O151" s="94"/>
      <c r="P151" t="s">
        <v>25</v>
      </c>
    </row>
    <row r="152" spans="15:18">
      <c r="O152" s="94"/>
      <c r="Q152" t="s">
        <v>25</v>
      </c>
    </row>
    <row r="153" spans="15:18">
      <c r="O153" s="94" t="s">
        <v>25</v>
      </c>
      <c r="Q153" t="s">
        <v>25</v>
      </c>
    </row>
    <row r="154" spans="15:18">
      <c r="O154" t="s">
        <v>25</v>
      </c>
    </row>
    <row r="155" spans="15:18">
      <c r="R155" t="s">
        <v>25</v>
      </c>
    </row>
    <row r="156" spans="15:18">
      <c r="P156" s="94" t="s">
        <v>5499</v>
      </c>
    </row>
    <row r="157" spans="15:18">
      <c r="P157" s="94" t="s">
        <v>5500</v>
      </c>
    </row>
    <row r="158" spans="15:18">
      <c r="P158" s="94" t="s">
        <v>5501</v>
      </c>
    </row>
    <row r="159" spans="15:18">
      <c r="P159" s="94" t="s">
        <v>5502</v>
      </c>
    </row>
    <row r="160" spans="15:18">
      <c r="O160" t="s">
        <v>25</v>
      </c>
      <c r="P160" s="94" t="s">
        <v>5503</v>
      </c>
    </row>
    <row r="161" spans="15:16">
      <c r="P161" s="94" t="s">
        <v>5504</v>
      </c>
    </row>
    <row r="163" spans="15:16">
      <c r="O163" s="94"/>
      <c r="P163" t="s">
        <v>25</v>
      </c>
    </row>
    <row r="164" spans="15:16">
      <c r="O164" s="94"/>
    </row>
    <row r="165" spans="15:16">
      <c r="O165" s="94"/>
      <c r="P165" t="s">
        <v>25</v>
      </c>
    </row>
    <row r="166" spans="15:16">
      <c r="O166" s="94"/>
    </row>
    <row r="167" spans="15:16">
      <c r="O167" t="s">
        <v>25</v>
      </c>
      <c r="P167" t="s">
        <v>25</v>
      </c>
    </row>
    <row r="168" spans="15:16">
      <c r="P168" t="s">
        <v>25</v>
      </c>
    </row>
    <row r="170" spans="15:16">
      <c r="O170" t="s">
        <v>25</v>
      </c>
    </row>
    <row r="171" spans="15:16">
      <c r="O171" s="94"/>
    </row>
    <row r="172" spans="15:16">
      <c r="O172" s="94" t="s">
        <v>25</v>
      </c>
    </row>
    <row r="173" spans="15:16">
      <c r="P173" t="s">
        <v>25</v>
      </c>
    </row>
    <row r="174" spans="15:16">
      <c r="O174" t="s">
        <v>25</v>
      </c>
    </row>
    <row r="175" spans="15:16">
      <c r="O175" t="s">
        <v>25</v>
      </c>
    </row>
    <row r="176" spans="15:16">
      <c r="O176" t="s">
        <v>25</v>
      </c>
    </row>
    <row r="179" spans="15:19">
      <c r="P179" t="s">
        <v>25</v>
      </c>
      <c r="S179" t="s">
        <v>25</v>
      </c>
    </row>
    <row r="187" spans="15:19">
      <c r="P187" t="s">
        <v>25</v>
      </c>
    </row>
    <row r="188" spans="15:19">
      <c r="P188" t="s">
        <v>25</v>
      </c>
    </row>
    <row r="190" spans="15:19">
      <c r="P190" t="s">
        <v>25</v>
      </c>
    </row>
    <row r="192" spans="15:19">
      <c r="O192" t="s">
        <v>25</v>
      </c>
    </row>
    <row r="193" spans="16:21">
      <c r="U193" t="s">
        <v>25</v>
      </c>
    </row>
    <row r="196" spans="16:21">
      <c r="Q196" t="s">
        <v>25</v>
      </c>
    </row>
    <row r="206" spans="16:21">
      <c r="P206" t="s">
        <v>25</v>
      </c>
    </row>
    <row r="217" spans="16:16">
      <c r="P217" t="s">
        <v>25</v>
      </c>
    </row>
    <row r="226" spans="15:16">
      <c r="P226" t="s">
        <v>25</v>
      </c>
    </row>
    <row r="232" spans="15:16">
      <c r="O232" s="94"/>
    </row>
    <row r="233" spans="15:16">
      <c r="O233" s="94" t="s">
        <v>25</v>
      </c>
      <c r="P233" t="s">
        <v>25</v>
      </c>
    </row>
    <row r="234" spans="15:16">
      <c r="O234" s="94"/>
    </row>
    <row r="235" spans="15:16">
      <c r="O235" s="94" t="s">
        <v>25</v>
      </c>
    </row>
    <row r="236" spans="15:16">
      <c r="O236" s="94"/>
    </row>
    <row r="237" spans="15:16">
      <c r="O237" s="94"/>
    </row>
  </sheetData>
  <conditionalFormatting sqref="K80 K1:K63 K67:K68">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73:K79">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4:K66">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G10 G36" formula="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E18" sqref="E18"/>
    </sheetView>
  </sheetViews>
  <sheetFormatPr defaultRowHeight="15"/>
  <cols>
    <col min="1" max="1" width="9.28515625" bestFit="1" customWidth="1"/>
    <col min="2" max="2" width="24.85546875" bestFit="1" customWidth="1"/>
    <col min="3" max="3" width="22" bestFit="1" customWidth="1"/>
    <col min="4" max="4" width="8.42578125" bestFit="1" customWidth="1"/>
    <col min="5" max="5" width="26" bestFit="1" customWidth="1"/>
    <col min="6" max="6" width="15.140625" bestFit="1" customWidth="1"/>
    <col min="7" max="7" width="26.42578125" bestFit="1" customWidth="1"/>
  </cols>
  <sheetData>
    <row r="1" spans="1:7">
      <c r="A1" s="294" t="s">
        <v>6191</v>
      </c>
      <c r="B1" s="295" t="s">
        <v>6189</v>
      </c>
      <c r="C1" s="32" t="s">
        <v>6202</v>
      </c>
      <c r="D1" s="236" t="s">
        <v>1098</v>
      </c>
      <c r="E1" s="32" t="s">
        <v>6190</v>
      </c>
      <c r="F1" s="205" t="s">
        <v>5835</v>
      </c>
      <c r="G1" s="205" t="s">
        <v>6201</v>
      </c>
    </row>
    <row r="2" spans="1:7">
      <c r="A2" s="294">
        <v>1390</v>
      </c>
      <c r="B2" s="295">
        <v>354</v>
      </c>
      <c r="C2" s="32"/>
      <c r="D2" s="236">
        <v>1900</v>
      </c>
      <c r="E2" s="32">
        <f t="shared" ref="E2:E12" si="0">B2*1000/D2</f>
        <v>186.31578947368422</v>
      </c>
      <c r="F2" s="18">
        <v>700000</v>
      </c>
      <c r="G2" s="205">
        <f t="shared" ref="G2:G12" si="1">B2*1000*1000/F2</f>
        <v>505.71428571428572</v>
      </c>
    </row>
    <row r="3" spans="1:7">
      <c r="A3" s="294">
        <v>1391</v>
      </c>
      <c r="B3" s="295">
        <v>460</v>
      </c>
      <c r="C3" s="32">
        <f t="shared" ref="C3:C12" si="2">(B3-B2)*100/B2</f>
        <v>29.943502824858758</v>
      </c>
      <c r="D3" s="236">
        <v>3200</v>
      </c>
      <c r="E3" s="32">
        <f t="shared" si="0"/>
        <v>143.75</v>
      </c>
      <c r="F3" s="18">
        <v>1200000</v>
      </c>
      <c r="G3" s="205">
        <f t="shared" si="1"/>
        <v>383.33333333333331</v>
      </c>
    </row>
    <row r="4" spans="1:7">
      <c r="A4" s="294">
        <v>1392</v>
      </c>
      <c r="B4" s="295">
        <v>640</v>
      </c>
      <c r="C4" s="32">
        <f t="shared" si="2"/>
        <v>39.130434782608695</v>
      </c>
      <c r="D4" s="236">
        <v>3100</v>
      </c>
      <c r="E4" s="32">
        <f t="shared" si="0"/>
        <v>206.45161290322579</v>
      </c>
      <c r="F4" s="18">
        <v>970000</v>
      </c>
      <c r="G4" s="205">
        <f t="shared" si="1"/>
        <v>659.79381443298973</v>
      </c>
    </row>
    <row r="5" spans="1:7">
      <c r="A5" s="294">
        <v>1393</v>
      </c>
      <c r="B5" s="295">
        <v>782</v>
      </c>
      <c r="C5" s="32">
        <f t="shared" si="2"/>
        <v>22.1875</v>
      </c>
      <c r="D5" s="236">
        <v>3300</v>
      </c>
      <c r="E5" s="32">
        <f t="shared" si="0"/>
        <v>236.96969696969697</v>
      </c>
      <c r="F5" s="18">
        <v>1000000</v>
      </c>
      <c r="G5" s="205">
        <f t="shared" si="1"/>
        <v>782</v>
      </c>
    </row>
    <row r="6" spans="1:7">
      <c r="A6" s="294">
        <v>1394</v>
      </c>
      <c r="B6" s="295">
        <v>1017</v>
      </c>
      <c r="C6" s="32">
        <f t="shared" si="2"/>
        <v>30.051150895140665</v>
      </c>
      <c r="D6" s="236">
        <v>3500</v>
      </c>
      <c r="E6" s="32">
        <f t="shared" si="0"/>
        <v>290.57142857142856</v>
      </c>
      <c r="F6" s="18">
        <v>1000000</v>
      </c>
      <c r="G6" s="205">
        <f t="shared" si="1"/>
        <v>1017</v>
      </c>
    </row>
    <row r="7" spans="1:7">
      <c r="A7" s="294">
        <v>1395</v>
      </c>
      <c r="B7" s="295">
        <v>1253</v>
      </c>
      <c r="C7" s="32">
        <f t="shared" si="2"/>
        <v>23.2055063913471</v>
      </c>
      <c r="D7" s="236">
        <v>3800</v>
      </c>
      <c r="E7" s="32">
        <f t="shared" si="0"/>
        <v>329.73684210526318</v>
      </c>
      <c r="F7" s="18">
        <v>1100000</v>
      </c>
      <c r="G7" s="205">
        <f t="shared" si="1"/>
        <v>1139.090909090909</v>
      </c>
    </row>
    <row r="8" spans="1:7">
      <c r="A8" s="294">
        <v>1396</v>
      </c>
      <c r="B8" s="295">
        <v>1530</v>
      </c>
      <c r="C8" s="32">
        <f t="shared" si="2"/>
        <v>22.106943335993616</v>
      </c>
      <c r="D8" s="236">
        <v>4500</v>
      </c>
      <c r="E8" s="32">
        <f t="shared" si="0"/>
        <v>340</v>
      </c>
      <c r="F8" s="18">
        <v>1400000</v>
      </c>
      <c r="G8" s="205">
        <f t="shared" si="1"/>
        <v>1092.8571428571429</v>
      </c>
    </row>
    <row r="9" spans="1:7">
      <c r="A9" s="294">
        <v>1397</v>
      </c>
      <c r="B9" s="295">
        <v>1882</v>
      </c>
      <c r="C9" s="32">
        <f t="shared" si="2"/>
        <v>23.006535947712418</v>
      </c>
      <c r="D9" s="236">
        <v>12000</v>
      </c>
      <c r="E9" s="32">
        <f t="shared" si="0"/>
        <v>156.83333333333334</v>
      </c>
      <c r="F9" s="18">
        <v>4750000</v>
      </c>
      <c r="G9" s="205">
        <f t="shared" si="1"/>
        <v>396.21052631578948</v>
      </c>
    </row>
    <row r="10" spans="1:7">
      <c r="A10" s="294">
        <v>1398</v>
      </c>
      <c r="B10" s="295">
        <v>2472</v>
      </c>
      <c r="C10" s="32">
        <f t="shared" si="2"/>
        <v>31.349628055260361</v>
      </c>
      <c r="D10" s="236">
        <v>15000</v>
      </c>
      <c r="E10" s="32">
        <f t="shared" si="0"/>
        <v>164.8</v>
      </c>
      <c r="F10" s="18">
        <v>6600000</v>
      </c>
      <c r="G10" s="205">
        <f t="shared" si="1"/>
        <v>374.54545454545456</v>
      </c>
    </row>
    <row r="11" spans="1:7">
      <c r="A11" s="294">
        <v>1399</v>
      </c>
      <c r="B11" s="295">
        <v>3476</v>
      </c>
      <c r="C11" s="32">
        <f t="shared" si="2"/>
        <v>40.614886731391586</v>
      </c>
      <c r="D11" s="236">
        <v>25000</v>
      </c>
      <c r="E11" s="32">
        <f t="shared" si="0"/>
        <v>139.04</v>
      </c>
      <c r="F11" s="18">
        <v>12000000</v>
      </c>
      <c r="G11" s="205">
        <f t="shared" si="1"/>
        <v>289.66666666666669</v>
      </c>
    </row>
    <row r="12" spans="1:7">
      <c r="A12" s="294">
        <v>1400</v>
      </c>
      <c r="B12" s="295">
        <v>4500</v>
      </c>
      <c r="C12" s="32">
        <f t="shared" si="2"/>
        <v>29.459148446490218</v>
      </c>
      <c r="D12" s="236">
        <v>28440</v>
      </c>
      <c r="E12" s="32">
        <f t="shared" si="0"/>
        <v>158.22784810126583</v>
      </c>
      <c r="F12" s="18">
        <v>15000000</v>
      </c>
      <c r="G12" s="205">
        <f t="shared" si="1"/>
        <v>300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9" workbookViewId="0">
      <selection activeCell="G45" sqref="G45"/>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5521</v>
      </c>
    </row>
    <row r="29" spans="2:21">
      <c r="G29" s="11">
        <f t="shared" ref="G29:G48" si="5">$I$49-I29</f>
        <v>25442</v>
      </c>
      <c r="H29" s="11" t="s">
        <v>5281</v>
      </c>
      <c r="I29" s="11">
        <v>270000</v>
      </c>
      <c r="J29" s="11" t="s">
        <v>560</v>
      </c>
    </row>
    <row r="30" spans="2:21">
      <c r="G30" s="11">
        <f t="shared" si="5"/>
        <v>25442</v>
      </c>
      <c r="H30" s="11" t="s">
        <v>5281</v>
      </c>
      <c r="I30" s="11">
        <v>270000</v>
      </c>
      <c r="J30" s="11" t="s">
        <v>561</v>
      </c>
    </row>
    <row r="31" spans="2:21">
      <c r="G31" s="11">
        <f t="shared" si="5"/>
        <v>0</v>
      </c>
      <c r="H31" s="11" t="s">
        <v>6905</v>
      </c>
      <c r="I31" s="11">
        <v>295442</v>
      </c>
      <c r="J31" s="11" t="s">
        <v>475</v>
      </c>
    </row>
    <row r="32" spans="2:21">
      <c r="G32" s="11">
        <f t="shared" si="5"/>
        <v>110442</v>
      </c>
      <c r="H32" s="57" t="s">
        <v>778</v>
      </c>
      <c r="I32" s="11">
        <v>185000</v>
      </c>
      <c r="J32" s="11" t="s">
        <v>555</v>
      </c>
    </row>
    <row r="33" spans="6:23">
      <c r="G33" s="11">
        <f t="shared" si="5"/>
        <v>11442</v>
      </c>
      <c r="H33" s="11" t="s">
        <v>6246</v>
      </c>
      <c r="I33" s="11">
        <v>284000</v>
      </c>
      <c r="J33" s="11" t="s">
        <v>562</v>
      </c>
    </row>
    <row r="34" spans="6:23">
      <c r="G34" s="11">
        <f t="shared" si="5"/>
        <v>11442</v>
      </c>
      <c r="H34" s="11" t="s">
        <v>6246</v>
      </c>
      <c r="I34" s="11">
        <v>284000</v>
      </c>
      <c r="J34" s="11" t="s">
        <v>563</v>
      </c>
    </row>
    <row r="35" spans="6:23">
      <c r="G35" s="11">
        <f t="shared" si="5"/>
        <v>0</v>
      </c>
      <c r="H35" s="11" t="s">
        <v>6905</v>
      </c>
      <c r="I35" s="11">
        <v>295442</v>
      </c>
      <c r="J35" s="11" t="s">
        <v>564</v>
      </c>
    </row>
    <row r="36" spans="6:23">
      <c r="F36" t="s">
        <v>25</v>
      </c>
      <c r="G36" s="11">
        <f t="shared" si="5"/>
        <v>31442</v>
      </c>
      <c r="H36" s="11" t="s">
        <v>5323</v>
      </c>
      <c r="I36" s="11">
        <v>264000</v>
      </c>
      <c r="J36" s="11" t="s">
        <v>635</v>
      </c>
      <c r="O36" s="22"/>
    </row>
    <row r="37" spans="6:23">
      <c r="G37" s="11">
        <f t="shared" si="5"/>
        <v>37442</v>
      </c>
      <c r="H37" s="11" t="s">
        <v>5137</v>
      </c>
      <c r="I37" s="11">
        <v>258000</v>
      </c>
      <c r="J37" s="11" t="s">
        <v>644</v>
      </c>
    </row>
    <row r="38" spans="6:23">
      <c r="G38" s="11">
        <f t="shared" si="5"/>
        <v>70942</v>
      </c>
      <c r="H38" s="11" t="s">
        <v>702</v>
      </c>
      <c r="I38" s="11">
        <v>224500</v>
      </c>
      <c r="J38" s="11" t="s">
        <v>701</v>
      </c>
      <c r="M38" s="25"/>
      <c r="N38" s="25"/>
      <c r="O38" s="25"/>
      <c r="P38" s="25"/>
      <c r="Q38" s="25"/>
      <c r="R38" s="25"/>
      <c r="S38" s="25"/>
      <c r="T38" s="25"/>
      <c r="U38" s="25"/>
      <c r="V38" s="25"/>
      <c r="W38" s="25"/>
    </row>
    <row r="39" spans="6:23">
      <c r="G39" s="11">
        <f t="shared" si="5"/>
        <v>105442</v>
      </c>
      <c r="H39" s="11" t="s">
        <v>736</v>
      </c>
      <c r="I39" s="11">
        <v>190000</v>
      </c>
      <c r="J39" s="11" t="s">
        <v>735</v>
      </c>
      <c r="M39" s="25"/>
      <c r="N39" s="25"/>
      <c r="O39" s="25"/>
      <c r="P39" s="25"/>
      <c r="Q39" s="25"/>
      <c r="R39" s="25"/>
      <c r="S39" s="25"/>
      <c r="T39" s="25"/>
      <c r="U39" s="25"/>
      <c r="V39" s="25"/>
      <c r="W39" s="25"/>
    </row>
    <row r="40" spans="6:23">
      <c r="G40" s="11">
        <f t="shared" si="5"/>
        <v>70442</v>
      </c>
      <c r="H40" s="11" t="s">
        <v>734</v>
      </c>
      <c r="I40" s="11">
        <v>225000</v>
      </c>
      <c r="J40" s="11" t="s">
        <v>733</v>
      </c>
      <c r="M40" s="25"/>
      <c r="N40" s="25"/>
      <c r="O40" s="25"/>
      <c r="P40" s="25"/>
      <c r="Q40" s="25"/>
      <c r="R40" s="25"/>
      <c r="S40" s="25"/>
      <c r="T40" s="25"/>
      <c r="U40" s="25"/>
      <c r="V40" s="25"/>
      <c r="W40" s="25"/>
    </row>
    <row r="41" spans="6:23">
      <c r="G41" s="11">
        <f t="shared" si="5"/>
        <v>64442</v>
      </c>
      <c r="H41" s="11" t="s">
        <v>1085</v>
      </c>
      <c r="I41" s="11">
        <v>231000</v>
      </c>
      <c r="J41" s="11" t="s">
        <v>772</v>
      </c>
      <c r="M41" s="25"/>
      <c r="N41" s="25"/>
      <c r="O41" s="69"/>
      <c r="P41" s="25"/>
      <c r="Q41" s="69"/>
      <c r="R41" s="69"/>
      <c r="S41" s="28"/>
      <c r="T41" s="28"/>
      <c r="U41" s="28"/>
      <c r="V41" s="28"/>
      <c r="W41" s="28"/>
    </row>
    <row r="42" spans="6:23">
      <c r="G42" s="11">
        <f t="shared" si="5"/>
        <v>79442</v>
      </c>
      <c r="H42" s="11" t="s">
        <v>773</v>
      </c>
      <c r="I42" s="11">
        <v>216000</v>
      </c>
      <c r="J42" s="11" t="s">
        <v>774</v>
      </c>
      <c r="M42" s="25"/>
      <c r="N42" s="25"/>
      <c r="O42" s="69"/>
      <c r="P42" s="25"/>
      <c r="Q42" s="69"/>
      <c r="R42" s="69"/>
      <c r="S42" s="28"/>
      <c r="T42" s="28"/>
      <c r="U42" s="25"/>
      <c r="V42" s="28"/>
      <c r="W42" s="28"/>
    </row>
    <row r="43" spans="6:23">
      <c r="G43" s="11">
        <f t="shared" si="5"/>
        <v>68442</v>
      </c>
      <c r="H43" s="11" t="s">
        <v>795</v>
      </c>
      <c r="I43" s="11">
        <v>227000</v>
      </c>
      <c r="J43" s="11" t="s">
        <v>796</v>
      </c>
      <c r="M43" s="25"/>
      <c r="N43" s="25"/>
      <c r="O43" s="25"/>
      <c r="P43" s="25"/>
      <c r="Q43" s="28"/>
      <c r="R43" s="25"/>
      <c r="S43" s="28"/>
      <c r="T43" s="25"/>
      <c r="U43" s="25"/>
      <c r="V43" s="25"/>
      <c r="W43" s="25"/>
    </row>
    <row r="44" spans="6:23">
      <c r="G44" s="11">
        <f t="shared" si="5"/>
        <v>66442</v>
      </c>
      <c r="H44" s="11" t="s">
        <v>858</v>
      </c>
      <c r="I44" s="11">
        <v>229000</v>
      </c>
      <c r="J44" s="11" t="s">
        <v>477</v>
      </c>
      <c r="M44" s="25"/>
      <c r="N44" s="25"/>
      <c r="O44" s="25"/>
      <c r="P44" s="25"/>
      <c r="Q44" s="25"/>
      <c r="R44" s="25"/>
      <c r="S44" s="25"/>
      <c r="T44" s="25"/>
      <c r="U44" s="25"/>
      <c r="V44" s="25"/>
      <c r="W44" s="25"/>
    </row>
    <row r="45" spans="6:23">
      <c r="G45" s="11">
        <f t="shared" si="5"/>
        <v>64442</v>
      </c>
      <c r="H45" s="11" t="s">
        <v>1085</v>
      </c>
      <c r="I45" s="11">
        <v>231000</v>
      </c>
      <c r="J45" s="11" t="s">
        <v>1084</v>
      </c>
      <c r="M45" s="25"/>
      <c r="N45" s="25"/>
      <c r="O45" s="25"/>
      <c r="P45" s="25"/>
      <c r="Q45" s="25"/>
      <c r="R45" s="25"/>
      <c r="S45" s="28"/>
      <c r="T45" s="25"/>
      <c r="U45" s="25"/>
      <c r="V45" s="25"/>
      <c r="W45" s="25"/>
    </row>
    <row r="46" spans="6:23">
      <c r="G46" s="11">
        <f t="shared" si="5"/>
        <v>47242</v>
      </c>
      <c r="H46" s="11" t="s">
        <v>4710</v>
      </c>
      <c r="I46" s="11">
        <v>248200</v>
      </c>
      <c r="J46" s="11" t="s">
        <v>4719</v>
      </c>
      <c r="M46" s="25"/>
      <c r="N46" s="25"/>
      <c r="O46" s="25"/>
      <c r="P46" s="25"/>
      <c r="Q46" s="25"/>
      <c r="R46" s="25"/>
      <c r="S46" s="25"/>
      <c r="T46" s="25"/>
      <c r="U46" s="25"/>
      <c r="V46" s="25"/>
      <c r="W46" s="25"/>
    </row>
    <row r="47" spans="6:23">
      <c r="G47" s="97">
        <f t="shared" si="5"/>
        <v>38442</v>
      </c>
      <c r="H47" s="97" t="s">
        <v>5096</v>
      </c>
      <c r="I47" s="97">
        <v>257000</v>
      </c>
      <c r="J47" s="97" t="s">
        <v>5127</v>
      </c>
      <c r="M47" s="25"/>
      <c r="N47" s="25"/>
      <c r="O47" s="25"/>
      <c r="P47" s="25"/>
      <c r="Q47" s="25"/>
      <c r="R47" s="25"/>
      <c r="S47" s="25"/>
      <c r="T47" s="25"/>
      <c r="U47" s="25"/>
      <c r="V47" s="25"/>
      <c r="W47" s="25"/>
    </row>
    <row r="48" spans="6:23">
      <c r="G48" s="97">
        <f t="shared" si="5"/>
        <v>19582</v>
      </c>
      <c r="H48" s="97" t="s">
        <v>5769</v>
      </c>
      <c r="I48" s="97">
        <v>275860</v>
      </c>
      <c r="J48" s="97" t="s">
        <v>5768</v>
      </c>
      <c r="M48" s="25"/>
      <c r="N48" s="25"/>
      <c r="O48" s="25"/>
      <c r="P48" s="25"/>
      <c r="Q48" s="25"/>
      <c r="R48" s="25"/>
      <c r="S48" s="25"/>
      <c r="T48" s="25"/>
      <c r="U48" s="25"/>
      <c r="V48" s="25"/>
      <c r="W48" s="25"/>
    </row>
    <row r="49" spans="7:23">
      <c r="G49" s="11"/>
      <c r="H49" s="11" t="s">
        <v>6887</v>
      </c>
      <c r="I49" s="11">
        <v>295442</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5522</v>
      </c>
      <c r="M53" s="25"/>
      <c r="N53" s="25"/>
      <c r="O53" s="68"/>
      <c r="P53" s="25"/>
      <c r="Q53" s="69"/>
      <c r="R53" s="25"/>
      <c r="S53" s="69"/>
      <c r="T53" s="25"/>
      <c r="U53" s="25"/>
      <c r="V53" s="25"/>
      <c r="W53" s="25"/>
    </row>
    <row r="54" spans="7:23">
      <c r="G54" s="97">
        <f>$I$73-I54</f>
        <v>17200</v>
      </c>
      <c r="H54" s="97" t="s">
        <v>5281</v>
      </c>
      <c r="I54" s="97">
        <v>38000</v>
      </c>
      <c r="J54" s="97" t="s">
        <v>560</v>
      </c>
      <c r="M54" s="25"/>
      <c r="N54" s="25"/>
      <c r="O54" s="25"/>
      <c r="P54" s="25"/>
      <c r="Q54" s="69"/>
      <c r="R54" s="25"/>
      <c r="S54" s="69"/>
      <c r="T54" s="25"/>
      <c r="U54" s="25"/>
      <c r="V54" s="25"/>
      <c r="W54" s="25"/>
    </row>
    <row r="55" spans="7:23">
      <c r="G55" s="97">
        <f t="shared" ref="G55:G72" si="6">$I$73-I55</f>
        <v>17200</v>
      </c>
      <c r="H55" s="97" t="s">
        <v>5281</v>
      </c>
      <c r="I55" s="97">
        <v>38000</v>
      </c>
      <c r="J55" s="97" t="s">
        <v>561</v>
      </c>
      <c r="M55" s="25"/>
      <c r="N55" s="25"/>
      <c r="O55" s="25"/>
      <c r="P55" s="25"/>
      <c r="Q55" s="69"/>
      <c r="R55" s="25"/>
      <c r="S55" s="69"/>
      <c r="T55" s="25"/>
      <c r="U55" s="28"/>
      <c r="V55" s="25"/>
      <c r="W55" s="25"/>
    </row>
    <row r="56" spans="7:23">
      <c r="G56" s="97">
        <f t="shared" si="6"/>
        <v>3300</v>
      </c>
      <c r="H56" s="97" t="s">
        <v>6422</v>
      </c>
      <c r="I56" s="97">
        <v>51900</v>
      </c>
      <c r="J56" s="97" t="s">
        <v>475</v>
      </c>
      <c r="M56" s="25"/>
      <c r="N56" s="25"/>
      <c r="O56" s="25"/>
      <c r="P56" s="25"/>
      <c r="Q56" s="69"/>
      <c r="R56" s="25"/>
      <c r="S56" s="69"/>
      <c r="T56" s="25"/>
      <c r="U56" s="25"/>
      <c r="V56" s="25"/>
      <c r="W56" s="25"/>
    </row>
    <row r="57" spans="7:23">
      <c r="G57" s="97">
        <f t="shared" si="6"/>
        <v>25200</v>
      </c>
      <c r="H57" s="57" t="s">
        <v>778</v>
      </c>
      <c r="I57" s="97">
        <v>30000</v>
      </c>
      <c r="J57" s="97" t="s">
        <v>555</v>
      </c>
      <c r="M57" s="25"/>
      <c r="N57" s="25"/>
      <c r="O57" s="25"/>
      <c r="P57" s="25"/>
      <c r="Q57" s="69"/>
      <c r="R57" s="25"/>
      <c r="S57" s="69"/>
      <c r="T57" s="25"/>
      <c r="U57" s="25"/>
      <c r="V57" s="25"/>
      <c r="W57" s="25"/>
    </row>
    <row r="58" spans="7:23">
      <c r="G58" s="97">
        <f t="shared" si="6"/>
        <v>12700</v>
      </c>
      <c r="H58" s="97" t="s">
        <v>5738</v>
      </c>
      <c r="I58" s="97">
        <v>42500</v>
      </c>
      <c r="J58" s="97" t="s">
        <v>562</v>
      </c>
      <c r="M58" s="25"/>
      <c r="N58" s="25"/>
      <c r="O58" s="25"/>
      <c r="P58" s="25"/>
      <c r="Q58" s="69"/>
      <c r="R58" s="25"/>
      <c r="S58" s="69"/>
      <c r="T58" s="25"/>
      <c r="U58" s="25"/>
      <c r="V58" s="25"/>
      <c r="W58" s="25"/>
    </row>
    <row r="59" spans="7:23">
      <c r="G59" s="97">
        <f t="shared" si="6"/>
        <v>12700</v>
      </c>
      <c r="H59" s="97" t="s">
        <v>5738</v>
      </c>
      <c r="I59" s="97">
        <v>42500</v>
      </c>
      <c r="J59" s="97" t="s">
        <v>563</v>
      </c>
      <c r="M59" s="25"/>
      <c r="N59" s="25"/>
      <c r="O59" s="25"/>
      <c r="P59" s="25"/>
      <c r="Q59" s="69"/>
      <c r="R59" s="25"/>
      <c r="S59" s="69"/>
      <c r="T59" s="25"/>
      <c r="U59" s="25"/>
      <c r="V59" s="25"/>
      <c r="W59" s="25"/>
    </row>
    <row r="60" spans="7:23">
      <c r="G60" s="97">
        <f t="shared" si="6"/>
        <v>3300</v>
      </c>
      <c r="H60" s="97" t="s">
        <v>6422</v>
      </c>
      <c r="I60" s="97">
        <v>51900</v>
      </c>
      <c r="J60" s="97" t="s">
        <v>564</v>
      </c>
      <c r="M60" s="25"/>
      <c r="N60" s="25"/>
      <c r="O60" s="25"/>
      <c r="P60" s="25"/>
      <c r="Q60" s="69"/>
      <c r="R60" s="25"/>
      <c r="S60" s="69"/>
      <c r="T60" s="25"/>
      <c r="U60" s="25"/>
      <c r="V60" s="25"/>
      <c r="W60" s="25"/>
    </row>
    <row r="61" spans="7:23">
      <c r="G61" s="97">
        <f t="shared" si="6"/>
        <v>55200</v>
      </c>
      <c r="H61" s="97" t="s">
        <v>5323</v>
      </c>
      <c r="I61" s="97">
        <v>0</v>
      </c>
      <c r="J61" s="97" t="s">
        <v>635</v>
      </c>
      <c r="M61" s="25"/>
      <c r="N61" s="25"/>
      <c r="O61" s="25"/>
      <c r="P61" s="25"/>
      <c r="Q61" s="69"/>
      <c r="R61" s="25"/>
      <c r="S61" s="69"/>
      <c r="T61" s="25"/>
      <c r="U61" s="25"/>
      <c r="V61" s="25"/>
      <c r="W61" s="25"/>
    </row>
    <row r="62" spans="7:23">
      <c r="G62" s="97">
        <f t="shared" si="6"/>
        <v>4700</v>
      </c>
      <c r="H62" s="97" t="s">
        <v>6257</v>
      </c>
      <c r="I62" s="97">
        <v>50500</v>
      </c>
      <c r="J62" s="97" t="s">
        <v>644</v>
      </c>
      <c r="M62" s="25"/>
      <c r="N62" s="25"/>
      <c r="O62" s="25"/>
      <c r="P62" s="25"/>
      <c r="Q62" s="25"/>
      <c r="R62" s="25"/>
      <c r="S62" s="69"/>
      <c r="T62" s="25"/>
      <c r="U62" s="25"/>
      <c r="V62" s="25"/>
      <c r="W62" s="25"/>
    </row>
    <row r="63" spans="7:23">
      <c r="G63" s="97">
        <f t="shared" si="6"/>
        <v>55200</v>
      </c>
      <c r="H63" s="97" t="s">
        <v>702</v>
      </c>
      <c r="I63" s="97">
        <v>0</v>
      </c>
      <c r="J63" s="97" t="s">
        <v>701</v>
      </c>
      <c r="M63" s="25"/>
      <c r="N63" s="25"/>
      <c r="O63" s="25"/>
      <c r="P63" s="25"/>
      <c r="Q63" s="25"/>
      <c r="R63" s="25"/>
      <c r="S63" s="28"/>
      <c r="T63" s="25"/>
      <c r="U63" s="25"/>
      <c r="V63" s="25"/>
      <c r="W63" s="25"/>
    </row>
    <row r="64" spans="7:23">
      <c r="G64" s="97">
        <f t="shared" si="6"/>
        <v>55200</v>
      </c>
      <c r="H64" s="97" t="s">
        <v>736</v>
      </c>
      <c r="I64" s="97">
        <v>0</v>
      </c>
      <c r="J64" s="97" t="s">
        <v>735</v>
      </c>
      <c r="M64" s="25"/>
      <c r="N64" s="25" t="s">
        <v>25</v>
      </c>
      <c r="O64" s="25"/>
      <c r="P64" s="25"/>
      <c r="Q64" s="25"/>
      <c r="R64" s="25"/>
      <c r="S64" s="25"/>
      <c r="T64" s="25"/>
      <c r="U64" s="25"/>
      <c r="V64" s="25"/>
      <c r="W64" s="25"/>
    </row>
    <row r="65" spans="7:17">
      <c r="G65" s="97">
        <f t="shared" si="6"/>
        <v>55200</v>
      </c>
      <c r="H65" s="97" t="s">
        <v>734</v>
      </c>
      <c r="I65" s="97">
        <v>0</v>
      </c>
      <c r="J65" s="97" t="s">
        <v>733</v>
      </c>
    </row>
    <row r="66" spans="7:17">
      <c r="G66" s="97">
        <f t="shared" si="6"/>
        <v>55200</v>
      </c>
      <c r="H66" s="97" t="s">
        <v>1085</v>
      </c>
      <c r="I66" s="97">
        <v>0</v>
      </c>
      <c r="J66" s="97" t="s">
        <v>772</v>
      </c>
    </row>
    <row r="67" spans="7:17">
      <c r="G67" s="97">
        <f t="shared" si="6"/>
        <v>4700</v>
      </c>
      <c r="H67" s="97" t="s">
        <v>6257</v>
      </c>
      <c r="I67" s="97">
        <v>50500</v>
      </c>
      <c r="J67" s="97" t="s">
        <v>6364</v>
      </c>
    </row>
    <row r="68" spans="7:17">
      <c r="G68" s="97">
        <f t="shared" si="6"/>
        <v>55200</v>
      </c>
      <c r="H68" s="97" t="s">
        <v>795</v>
      </c>
      <c r="I68" s="97">
        <v>0</v>
      </c>
      <c r="J68" s="97" t="s">
        <v>796</v>
      </c>
    </row>
    <row r="69" spans="7:17">
      <c r="G69" s="97">
        <f t="shared" si="6"/>
        <v>55200</v>
      </c>
      <c r="H69" s="97" t="s">
        <v>858</v>
      </c>
      <c r="I69" s="97">
        <v>0</v>
      </c>
      <c r="J69" s="97" t="s">
        <v>477</v>
      </c>
    </row>
    <row r="70" spans="7:17">
      <c r="G70" s="97">
        <f t="shared" si="6"/>
        <v>12700</v>
      </c>
      <c r="H70" s="97" t="s">
        <v>5738</v>
      </c>
      <c r="I70" s="97">
        <v>42500</v>
      </c>
      <c r="J70" s="97" t="s">
        <v>1084</v>
      </c>
    </row>
    <row r="71" spans="7:17">
      <c r="G71" s="97">
        <f t="shared" si="6"/>
        <v>55200</v>
      </c>
      <c r="H71" s="97" t="s">
        <v>4710</v>
      </c>
      <c r="I71" s="97">
        <v>0</v>
      </c>
      <c r="J71" s="97" t="s">
        <v>4719</v>
      </c>
    </row>
    <row r="72" spans="7:17">
      <c r="G72" s="97">
        <f t="shared" si="6"/>
        <v>55200</v>
      </c>
      <c r="H72" s="97" t="s">
        <v>5096</v>
      </c>
      <c r="I72" s="97">
        <v>0</v>
      </c>
      <c r="J72" s="97" t="s">
        <v>5127</v>
      </c>
    </row>
    <row r="73" spans="7:17">
      <c r="G73" s="97"/>
      <c r="H73" s="97" t="s">
        <v>6874</v>
      </c>
      <c r="I73" s="97">
        <v>55200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60" t="s">
        <v>6286</v>
      </c>
      <c r="C1" s="460"/>
      <c r="D1" s="460" t="s">
        <v>6287</v>
      </c>
      <c r="E1" s="460"/>
      <c r="G1" s="22"/>
      <c r="R1" s="97" t="s">
        <v>5508</v>
      </c>
      <c r="S1" s="97"/>
      <c r="T1" s="97" t="s">
        <v>933</v>
      </c>
      <c r="U1" s="97" t="s">
        <v>6277</v>
      </c>
      <c r="V1" s="97"/>
      <c r="W1" s="97" t="s">
        <v>933</v>
      </c>
      <c r="X1" s="97" t="s">
        <v>6278</v>
      </c>
      <c r="Y1" s="97"/>
      <c r="Z1" s="97" t="s">
        <v>936</v>
      </c>
      <c r="AA1" s="97" t="s">
        <v>5</v>
      </c>
      <c r="AB1" s="97" t="s">
        <v>6279</v>
      </c>
      <c r="AC1" s="311"/>
      <c r="AD1" s="311" t="s">
        <v>6280</v>
      </c>
    </row>
    <row r="2" spans="1:30">
      <c r="A2" s="298" t="s">
        <v>3623</v>
      </c>
      <c r="B2" s="298" t="s">
        <v>180</v>
      </c>
      <c r="C2" s="298" t="s">
        <v>6288</v>
      </c>
      <c r="D2" s="298" t="s">
        <v>6289</v>
      </c>
      <c r="E2" s="298" t="s">
        <v>6290</v>
      </c>
      <c r="F2" s="298" t="s">
        <v>5302</v>
      </c>
      <c r="G2" s="22"/>
      <c r="H2" s="298" t="s">
        <v>4116</v>
      </c>
      <c r="I2" s="298" t="s">
        <v>5</v>
      </c>
      <c r="R2" s="97" t="s">
        <v>5498</v>
      </c>
      <c r="S2" s="97" t="s">
        <v>6276</v>
      </c>
      <c r="T2" s="97">
        <v>17800</v>
      </c>
      <c r="U2" s="97">
        <v>916</v>
      </c>
      <c r="V2" s="97" t="s">
        <v>4354</v>
      </c>
      <c r="W2" s="97">
        <v>16472</v>
      </c>
      <c r="X2" s="97">
        <v>916</v>
      </c>
      <c r="Y2" s="97"/>
      <c r="Z2" s="93">
        <v>987467</v>
      </c>
      <c r="AA2" s="93">
        <f>Z2/2</f>
        <v>493733.5</v>
      </c>
      <c r="AB2" s="97" t="s">
        <v>5498</v>
      </c>
      <c r="AC2" s="311"/>
      <c r="AD2" s="311">
        <v>1086</v>
      </c>
    </row>
    <row r="3" spans="1:30" s="310" customFormat="1" ht="72.75" customHeight="1">
      <c r="A3" s="307">
        <v>2</v>
      </c>
      <c r="B3" s="307" t="s">
        <v>6356</v>
      </c>
      <c r="C3" s="307" t="s">
        <v>6357</v>
      </c>
      <c r="D3" s="307">
        <v>0</v>
      </c>
      <c r="E3" s="307">
        <v>426136788</v>
      </c>
      <c r="F3" s="307">
        <v>1153060652</v>
      </c>
      <c r="G3" s="22"/>
      <c r="H3" s="112">
        <v>1230000</v>
      </c>
      <c r="I3" s="112">
        <f>H3/2</f>
        <v>615000</v>
      </c>
      <c r="J3" s="310" t="s">
        <v>6359</v>
      </c>
      <c r="R3" s="269" t="s">
        <v>5720</v>
      </c>
      <c r="S3" s="309" t="s">
        <v>6355</v>
      </c>
      <c r="T3" s="269">
        <v>21532</v>
      </c>
      <c r="U3" s="269">
        <v>1859</v>
      </c>
      <c r="V3" s="271" t="s">
        <v>6283</v>
      </c>
      <c r="W3" s="271">
        <v>1187</v>
      </c>
      <c r="X3" s="271">
        <f t="shared" ref="X3:X9" si="0">T3*U3*0.99114/(W3*1.0037158)</f>
        <v>33299.467209851166</v>
      </c>
      <c r="Y3" s="271">
        <f t="shared" ref="Y3:Y9" si="1">T3/W3</f>
        <v>18.139848357203032</v>
      </c>
      <c r="Z3" s="93">
        <v>0</v>
      </c>
      <c r="AA3" s="93">
        <f t="shared" ref="AA3:AA9" si="2">Z3/2</f>
        <v>0</v>
      </c>
      <c r="AB3" s="97" t="s">
        <v>6274</v>
      </c>
      <c r="AC3" s="311"/>
      <c r="AD3" s="311"/>
    </row>
    <row r="4" spans="1:30" s="310" customFormat="1">
      <c r="A4" s="312">
        <v>3</v>
      </c>
      <c r="B4" s="312" t="s">
        <v>6356</v>
      </c>
      <c r="C4" s="312" t="s">
        <v>6358</v>
      </c>
      <c r="D4" s="312">
        <v>0</v>
      </c>
      <c r="E4" s="312">
        <v>259688196</v>
      </c>
      <c r="F4" s="312">
        <v>1412748848</v>
      </c>
      <c r="G4" s="22"/>
      <c r="H4" s="112"/>
      <c r="I4" s="112"/>
      <c r="R4" s="269" t="s">
        <v>5725</v>
      </c>
      <c r="S4" s="269" t="s">
        <v>6282</v>
      </c>
      <c r="T4" s="269">
        <v>22420.1</v>
      </c>
      <c r="U4" s="284">
        <v>1000</v>
      </c>
      <c r="V4" s="271" t="s">
        <v>6284</v>
      </c>
      <c r="W4" s="271">
        <v>1161</v>
      </c>
      <c r="X4" s="271">
        <f t="shared" si="0"/>
        <v>19069.072437793271</v>
      </c>
      <c r="Y4" s="271">
        <f t="shared" si="1"/>
        <v>19.311024978466836</v>
      </c>
      <c r="Z4" s="93">
        <v>19462210</v>
      </c>
      <c r="AA4" s="93">
        <f t="shared" si="2"/>
        <v>9731105</v>
      </c>
      <c r="AB4" s="97" t="s">
        <v>6269</v>
      </c>
      <c r="AC4" s="311"/>
      <c r="AD4" s="311"/>
    </row>
    <row r="5" spans="1:30">
      <c r="A5" s="308"/>
      <c r="B5" s="299" t="s">
        <v>6291</v>
      </c>
      <c r="C5" s="299" t="s">
        <v>6292</v>
      </c>
      <c r="D5" s="299">
        <v>0</v>
      </c>
      <c r="E5" s="299">
        <v>1545379960</v>
      </c>
      <c r="F5" s="299">
        <v>1545486874</v>
      </c>
      <c r="G5" s="22"/>
      <c r="H5" s="112">
        <f>(E5-D7)/10</f>
        <v>19462210.699999999</v>
      </c>
      <c r="I5" s="112">
        <f>H5/2</f>
        <v>9731105.3499999996</v>
      </c>
      <c r="R5" s="269" t="s">
        <v>5726</v>
      </c>
      <c r="S5" s="269" t="s">
        <v>6282</v>
      </c>
      <c r="T5" s="269">
        <v>23233.1</v>
      </c>
      <c r="U5" s="284">
        <v>1000</v>
      </c>
      <c r="V5" s="271" t="s">
        <v>6284</v>
      </c>
      <c r="W5" s="271">
        <v>1152</v>
      </c>
      <c r="X5" s="271">
        <f t="shared" si="0"/>
        <v>19914.936480069027</v>
      </c>
      <c r="Y5" s="271">
        <f t="shared" si="1"/>
        <v>20.167621527777776</v>
      </c>
      <c r="Z5" s="93">
        <v>0</v>
      </c>
      <c r="AA5" s="93">
        <f t="shared" si="2"/>
        <v>0</v>
      </c>
      <c r="AB5" s="97" t="s">
        <v>6269</v>
      </c>
      <c r="AC5" s="311"/>
      <c r="AD5" s="311"/>
    </row>
    <row r="6" spans="1:30">
      <c r="A6" s="298"/>
      <c r="B6" s="300" t="s">
        <v>6291</v>
      </c>
      <c r="C6" s="300" t="s">
        <v>6293</v>
      </c>
      <c r="D6" s="300">
        <v>0</v>
      </c>
      <c r="E6" s="300">
        <v>32194843</v>
      </c>
      <c r="F6" s="300">
        <v>1577681717</v>
      </c>
      <c r="G6" s="22"/>
      <c r="H6" s="112">
        <f>E6/10</f>
        <v>3219484.3</v>
      </c>
      <c r="I6" s="112">
        <f>H6/2</f>
        <v>1609742.15</v>
      </c>
      <c r="R6" s="269" t="s">
        <v>5728</v>
      </c>
      <c r="S6" s="269" t="s">
        <v>6282</v>
      </c>
      <c r="T6" s="269">
        <v>23900</v>
      </c>
      <c r="U6" s="284">
        <v>1000</v>
      </c>
      <c r="V6" s="271" t="s">
        <v>6285</v>
      </c>
      <c r="W6" s="271">
        <v>1153</v>
      </c>
      <c r="X6" s="271">
        <f t="shared" si="0"/>
        <v>20468.821398374203</v>
      </c>
      <c r="Y6" s="271">
        <f t="shared" si="1"/>
        <v>20.7285342584562</v>
      </c>
      <c r="Z6" s="93">
        <v>0</v>
      </c>
      <c r="AA6" s="93">
        <f t="shared" si="2"/>
        <v>0</v>
      </c>
      <c r="AB6" s="97" t="s">
        <v>6269</v>
      </c>
      <c r="AC6" s="311"/>
      <c r="AD6" s="311"/>
    </row>
    <row r="7" spans="1:30">
      <c r="A7" s="308"/>
      <c r="B7" s="299" t="s">
        <v>6291</v>
      </c>
      <c r="C7" s="299" t="s">
        <v>6294</v>
      </c>
      <c r="D7" s="299">
        <v>1350757853</v>
      </c>
      <c r="E7" s="299">
        <v>0</v>
      </c>
      <c r="F7" s="299">
        <v>226923864</v>
      </c>
      <c r="G7" s="22"/>
      <c r="H7" s="112"/>
      <c r="I7" s="112"/>
      <c r="R7" s="269" t="s">
        <v>5738</v>
      </c>
      <c r="S7" s="269" t="s">
        <v>6282</v>
      </c>
      <c r="T7" s="269">
        <v>22500</v>
      </c>
      <c r="U7" s="284">
        <v>2000</v>
      </c>
      <c r="V7" s="271" t="s">
        <v>6284</v>
      </c>
      <c r="W7" s="271">
        <v>1093</v>
      </c>
      <c r="X7" s="271">
        <f t="shared" si="0"/>
        <v>40655.246136679802</v>
      </c>
      <c r="Y7" s="271">
        <f t="shared" si="1"/>
        <v>20.585544373284538</v>
      </c>
      <c r="Z7" s="93">
        <v>0</v>
      </c>
      <c r="AA7" s="93">
        <f t="shared" si="2"/>
        <v>0</v>
      </c>
      <c r="AB7" s="97" t="s">
        <v>6269</v>
      </c>
      <c r="AC7" s="311"/>
      <c r="AD7" s="311"/>
    </row>
    <row r="8" spans="1:30" ht="30">
      <c r="A8" s="41">
        <v>1</v>
      </c>
      <c r="B8" s="300" t="s">
        <v>6295</v>
      </c>
      <c r="C8" s="300" t="s">
        <v>6296</v>
      </c>
      <c r="D8" s="300">
        <v>0</v>
      </c>
      <c r="E8" s="300">
        <v>417254126</v>
      </c>
      <c r="F8" s="300">
        <v>417260507</v>
      </c>
      <c r="G8" s="22" t="s">
        <v>6297</v>
      </c>
      <c r="H8" s="112"/>
      <c r="I8" s="112"/>
      <c r="R8" s="269" t="s">
        <v>6253</v>
      </c>
      <c r="S8" s="269" t="s">
        <v>6281</v>
      </c>
      <c r="T8" s="269">
        <v>23706</v>
      </c>
      <c r="U8" s="284">
        <v>1000</v>
      </c>
      <c r="V8" s="271" t="s">
        <v>4216</v>
      </c>
      <c r="W8" s="271">
        <v>1155</v>
      </c>
      <c r="X8" s="271">
        <f t="shared" si="0"/>
        <v>20267.516662882761</v>
      </c>
      <c r="Y8" s="271">
        <f t="shared" si="1"/>
        <v>20.524675324675325</v>
      </c>
      <c r="Z8" s="93">
        <v>0</v>
      </c>
      <c r="AA8" s="93">
        <f t="shared" si="2"/>
        <v>0</v>
      </c>
      <c r="AB8" s="97" t="s">
        <v>6269</v>
      </c>
      <c r="AC8" s="311"/>
      <c r="AD8" s="311"/>
    </row>
    <row r="9" spans="1:30">
      <c r="A9" s="41">
        <v>2</v>
      </c>
      <c r="B9" s="300" t="s">
        <v>6295</v>
      </c>
      <c r="C9" s="300" t="s">
        <v>6298</v>
      </c>
      <c r="D9" s="300">
        <v>417153593</v>
      </c>
      <c r="E9" s="300">
        <v>0</v>
      </c>
      <c r="F9" s="300">
        <v>106914</v>
      </c>
      <c r="G9" s="22"/>
      <c r="H9" s="112"/>
      <c r="I9" s="112"/>
      <c r="R9" s="60" t="s">
        <v>6253</v>
      </c>
      <c r="S9" s="60" t="s">
        <v>4354</v>
      </c>
      <c r="T9" s="60">
        <v>16794</v>
      </c>
      <c r="U9" s="60">
        <v>2227</v>
      </c>
      <c r="V9" s="271" t="s">
        <v>4216</v>
      </c>
      <c r="W9" s="271">
        <v>1146.6500000000001</v>
      </c>
      <c r="X9" s="271">
        <f t="shared" si="0"/>
        <v>32208.294857700886</v>
      </c>
      <c r="Y9" s="271">
        <f t="shared" si="1"/>
        <v>14.646143112545239</v>
      </c>
      <c r="Z9" s="93">
        <v>3219484</v>
      </c>
      <c r="AA9" s="93">
        <f t="shared" si="2"/>
        <v>1609742</v>
      </c>
      <c r="AB9" s="97" t="s">
        <v>6259</v>
      </c>
      <c r="AC9" s="311"/>
      <c r="AD9" s="311" t="s">
        <v>25</v>
      </c>
    </row>
    <row r="10" spans="1:30">
      <c r="A10" s="41">
        <v>3</v>
      </c>
      <c r="B10" s="299" t="s">
        <v>6299</v>
      </c>
      <c r="C10" s="301" t="s">
        <v>6300</v>
      </c>
      <c r="D10" s="301">
        <v>0</v>
      </c>
      <c r="E10" s="301">
        <v>234963645</v>
      </c>
      <c r="F10" s="301">
        <v>235147671</v>
      </c>
      <c r="G10" s="22"/>
      <c r="H10" s="112"/>
      <c r="I10" s="112"/>
      <c r="R10" s="311"/>
      <c r="S10" s="311"/>
      <c r="T10" s="311"/>
      <c r="U10" s="311"/>
      <c r="V10" s="311"/>
      <c r="W10" s="311"/>
      <c r="X10" s="311"/>
      <c r="Y10" s="311"/>
      <c r="Z10" s="311"/>
    </row>
    <row r="11" spans="1:30">
      <c r="A11" s="300">
        <v>4</v>
      </c>
      <c r="B11" s="300" t="s">
        <v>6299</v>
      </c>
      <c r="C11" s="300" t="s">
        <v>6301</v>
      </c>
      <c r="D11" s="300">
        <v>0</v>
      </c>
      <c r="E11" s="300">
        <v>370711163</v>
      </c>
      <c r="F11" s="300">
        <v>605858834</v>
      </c>
      <c r="G11" s="22"/>
      <c r="H11" s="112"/>
      <c r="I11" s="112"/>
      <c r="R11" s="311"/>
      <c r="S11" s="311"/>
      <c r="T11" s="311"/>
      <c r="U11" s="311"/>
      <c r="V11" s="311"/>
      <c r="W11" s="311"/>
      <c r="X11" s="311"/>
      <c r="Y11" s="311"/>
      <c r="Z11" s="311"/>
    </row>
    <row r="12" spans="1:30" ht="30">
      <c r="A12" s="300">
        <v>5</v>
      </c>
      <c r="B12" s="299" t="s">
        <v>6299</v>
      </c>
      <c r="C12" s="300" t="s">
        <v>6302</v>
      </c>
      <c r="D12" s="301">
        <v>605852453</v>
      </c>
      <c r="E12" s="301">
        <v>0</v>
      </c>
      <c r="F12" s="301">
        <v>6381</v>
      </c>
      <c r="G12" s="22" t="s">
        <v>6303</v>
      </c>
      <c r="H12" s="112"/>
      <c r="I12" s="112"/>
      <c r="R12" s="311"/>
      <c r="S12" s="311"/>
      <c r="T12" s="311"/>
      <c r="U12" s="311"/>
      <c r="V12" s="311"/>
      <c r="W12" s="311"/>
      <c r="X12" s="311"/>
      <c r="Y12" s="311"/>
      <c r="Z12" s="311"/>
    </row>
    <row r="13" spans="1:30">
      <c r="A13" s="41">
        <v>11</v>
      </c>
      <c r="B13" s="41" t="s">
        <v>6177</v>
      </c>
      <c r="C13" s="41" t="s">
        <v>6304</v>
      </c>
      <c r="D13" s="41">
        <v>88258180</v>
      </c>
      <c r="E13" s="41">
        <v>0</v>
      </c>
      <c r="F13" s="41">
        <v>184108</v>
      </c>
      <c r="G13" s="22" t="s">
        <v>6305</v>
      </c>
      <c r="H13" s="112"/>
      <c r="I13" s="112"/>
      <c r="R13" s="311"/>
      <c r="S13" s="311"/>
      <c r="T13" s="311"/>
      <c r="U13" s="311"/>
      <c r="V13" s="311"/>
      <c r="W13" s="311"/>
      <c r="X13" s="311"/>
      <c r="Y13" s="311"/>
      <c r="Z13" s="311"/>
    </row>
    <row r="14" spans="1:30">
      <c r="A14" s="302">
        <v>12</v>
      </c>
      <c r="B14" s="302" t="s">
        <v>6306</v>
      </c>
      <c r="C14" s="302" t="s">
        <v>6307</v>
      </c>
      <c r="D14" s="302">
        <v>0</v>
      </c>
      <c r="E14" s="302">
        <v>88371992</v>
      </c>
      <c r="F14" s="302">
        <v>88442288</v>
      </c>
      <c r="G14" s="22"/>
      <c r="H14" s="112"/>
      <c r="I14" s="112"/>
    </row>
    <row r="15" spans="1:30">
      <c r="A15" s="303">
        <v>15</v>
      </c>
      <c r="B15" s="299" t="s">
        <v>6308</v>
      </c>
      <c r="C15" s="303" t="s">
        <v>6309</v>
      </c>
      <c r="D15" s="303">
        <v>0</v>
      </c>
      <c r="E15" s="303">
        <v>446040000</v>
      </c>
      <c r="F15" s="303">
        <v>455337264</v>
      </c>
      <c r="G15" s="22"/>
      <c r="H15" s="112"/>
      <c r="I15" s="112"/>
    </row>
    <row r="16" spans="1:30">
      <c r="A16" s="41">
        <v>16</v>
      </c>
      <c r="B16" s="41" t="s">
        <v>6308</v>
      </c>
      <c r="C16" s="41" t="s">
        <v>6310</v>
      </c>
      <c r="D16" s="41">
        <v>0</v>
      </c>
      <c r="E16" s="41">
        <v>5458523</v>
      </c>
      <c r="F16" s="41">
        <v>460795787</v>
      </c>
      <c r="G16" s="22"/>
      <c r="H16" s="112"/>
      <c r="I16" s="112"/>
    </row>
    <row r="17" spans="1:9">
      <c r="A17" s="303">
        <v>17</v>
      </c>
      <c r="B17" s="299" t="s">
        <v>6308</v>
      </c>
      <c r="C17" s="303" t="s">
        <v>6311</v>
      </c>
      <c r="D17" s="303">
        <v>460784299</v>
      </c>
      <c r="E17" s="303">
        <v>0</v>
      </c>
      <c r="F17" s="303">
        <v>11488</v>
      </c>
      <c r="G17" s="22"/>
      <c r="H17" s="112"/>
      <c r="I17" s="112"/>
    </row>
    <row r="18" spans="1:9">
      <c r="A18" s="304">
        <v>19</v>
      </c>
      <c r="B18" s="299" t="s">
        <v>6312</v>
      </c>
      <c r="C18" s="304" t="s">
        <v>6313</v>
      </c>
      <c r="D18" s="304">
        <v>0</v>
      </c>
      <c r="E18" s="304">
        <v>236896800</v>
      </c>
      <c r="F18" s="304">
        <v>247051542</v>
      </c>
      <c r="G18" s="22"/>
      <c r="H18" s="112"/>
      <c r="I18" s="112"/>
    </row>
    <row r="19" spans="1:9">
      <c r="A19" s="304">
        <v>22</v>
      </c>
      <c r="B19" s="299" t="s">
        <v>6312</v>
      </c>
      <c r="C19" s="304" t="s">
        <v>6314</v>
      </c>
      <c r="D19" s="304">
        <v>244418699</v>
      </c>
      <c r="E19" s="304">
        <v>0</v>
      </c>
      <c r="F19" s="304">
        <v>8048350</v>
      </c>
      <c r="G19" s="22"/>
      <c r="H19" s="112"/>
      <c r="I19" s="112"/>
    </row>
    <row r="20" spans="1:9">
      <c r="A20" s="305">
        <v>23</v>
      </c>
      <c r="B20" s="299" t="s">
        <v>6315</v>
      </c>
      <c r="C20" s="305" t="s">
        <v>6316</v>
      </c>
      <c r="D20" s="305">
        <v>0</v>
      </c>
      <c r="E20" s="305">
        <v>230286491</v>
      </c>
      <c r="F20" s="305">
        <v>238422914</v>
      </c>
      <c r="G20" s="22"/>
      <c r="H20" s="112"/>
      <c r="I20" s="112"/>
    </row>
    <row r="21" spans="1:9">
      <c r="A21" s="305">
        <v>24</v>
      </c>
      <c r="B21" s="299" t="s">
        <v>6315</v>
      </c>
      <c r="C21" s="305" t="s">
        <v>6317</v>
      </c>
      <c r="D21" s="305">
        <v>228268172</v>
      </c>
      <c r="E21" s="305">
        <v>0</v>
      </c>
      <c r="F21" s="305">
        <v>10154742</v>
      </c>
      <c r="G21" s="22"/>
      <c r="H21" s="112"/>
      <c r="I21" s="112"/>
    </row>
    <row r="22" spans="1:9">
      <c r="A22" s="306">
        <v>25</v>
      </c>
      <c r="B22" s="299" t="s">
        <v>6318</v>
      </c>
      <c r="C22" s="306" t="s">
        <v>6319</v>
      </c>
      <c r="D22" s="306">
        <v>0</v>
      </c>
      <c r="E22" s="306">
        <v>222228038</v>
      </c>
      <c r="F22" s="306">
        <v>230347490</v>
      </c>
      <c r="G22" s="22"/>
      <c r="H22" s="112"/>
      <c r="I22" s="112"/>
    </row>
    <row r="23" spans="1:9">
      <c r="A23" s="306">
        <v>26</v>
      </c>
      <c r="B23" s="299" t="s">
        <v>6318</v>
      </c>
      <c r="C23" s="306" t="s">
        <v>6320</v>
      </c>
      <c r="D23" s="306">
        <v>222211067</v>
      </c>
      <c r="E23" s="306">
        <v>0</v>
      </c>
      <c r="F23" s="306">
        <v>8136423</v>
      </c>
      <c r="G23" s="22"/>
      <c r="H23" s="112"/>
      <c r="I23" s="112"/>
    </row>
    <row r="24" spans="1:9">
      <c r="A24" s="307">
        <v>27</v>
      </c>
      <c r="B24" s="307" t="s">
        <v>6321</v>
      </c>
      <c r="C24" s="307" t="s">
        <v>6322</v>
      </c>
      <c r="D24" s="307">
        <v>0</v>
      </c>
      <c r="E24" s="307">
        <v>396757423</v>
      </c>
      <c r="F24" s="307">
        <v>404903981</v>
      </c>
      <c r="G24" s="22"/>
      <c r="H24" s="112"/>
      <c r="I24" s="112"/>
    </row>
    <row r="25" spans="1:9" ht="30">
      <c r="A25" s="307">
        <v>28</v>
      </c>
      <c r="B25" s="307" t="s">
        <v>6321</v>
      </c>
      <c r="C25" s="307" t="s">
        <v>6323</v>
      </c>
      <c r="D25" s="307">
        <v>396784529</v>
      </c>
      <c r="E25" s="307">
        <v>0</v>
      </c>
      <c r="F25" s="307">
        <v>8119452</v>
      </c>
      <c r="G25" s="22" t="s">
        <v>6324</v>
      </c>
      <c r="H25" s="112"/>
      <c r="I25" s="112"/>
    </row>
    <row r="26" spans="1:9">
      <c r="A26" s="41">
        <v>41</v>
      </c>
      <c r="B26" s="41" t="s">
        <v>6325</v>
      </c>
      <c r="C26" s="41" t="s">
        <v>6326</v>
      </c>
      <c r="D26" s="41">
        <v>9935956</v>
      </c>
      <c r="E26" s="41">
        <v>0</v>
      </c>
      <c r="F26" s="41">
        <v>4150875</v>
      </c>
      <c r="G26" s="22"/>
      <c r="H26" s="112"/>
      <c r="I26" s="112"/>
    </row>
    <row r="27" spans="1:9" ht="30">
      <c r="A27" s="302">
        <v>46</v>
      </c>
      <c r="B27" s="302" t="s">
        <v>6327</v>
      </c>
      <c r="C27" s="302" t="s">
        <v>6328</v>
      </c>
      <c r="D27" s="302">
        <v>13072</v>
      </c>
      <c r="E27" s="302">
        <v>0</v>
      </c>
      <c r="F27" s="302">
        <v>4639060</v>
      </c>
      <c r="G27" s="22" t="s">
        <v>6329</v>
      </c>
      <c r="H27" s="112"/>
      <c r="I27" s="112"/>
    </row>
    <row r="28" spans="1:9">
      <c r="A28" s="41">
        <v>59</v>
      </c>
      <c r="B28" s="41" t="s">
        <v>6330</v>
      </c>
      <c r="C28" s="41" t="s">
        <v>6331</v>
      </c>
      <c r="D28" s="41">
        <v>0</v>
      </c>
      <c r="E28" s="41">
        <v>2339234</v>
      </c>
      <c r="F28" s="41">
        <v>2355939</v>
      </c>
      <c r="G28" s="22"/>
      <c r="H28" s="112"/>
      <c r="I28" s="112"/>
    </row>
    <row r="29" spans="1:9">
      <c r="A29" s="303">
        <v>65</v>
      </c>
      <c r="B29" s="303" t="s">
        <v>6332</v>
      </c>
      <c r="C29" s="303" t="s">
        <v>6333</v>
      </c>
      <c r="D29" s="303">
        <v>0</v>
      </c>
      <c r="E29" s="303">
        <v>161458284</v>
      </c>
      <c r="F29" s="303">
        <v>379598720</v>
      </c>
      <c r="G29" s="22" t="s">
        <v>6334</v>
      </c>
      <c r="H29" s="112">
        <f>(E29-D31)/10</f>
        <v>987467.4</v>
      </c>
      <c r="I29" s="112">
        <f>H29/2</f>
        <v>493733.7</v>
      </c>
    </row>
    <row r="30" spans="1:9">
      <c r="A30" s="41">
        <v>66</v>
      </c>
      <c r="B30" s="41" t="s">
        <v>6332</v>
      </c>
      <c r="C30" s="41" t="s">
        <v>6335</v>
      </c>
      <c r="D30" s="41">
        <v>227863316</v>
      </c>
      <c r="E30" s="41">
        <v>0</v>
      </c>
      <c r="F30" s="41">
        <v>151735404</v>
      </c>
      <c r="G30" s="22"/>
    </row>
    <row r="31" spans="1:9">
      <c r="A31" s="303">
        <v>67</v>
      </c>
      <c r="B31" s="303" t="s">
        <v>6332</v>
      </c>
      <c r="C31" s="303" t="s">
        <v>6336</v>
      </c>
      <c r="D31" s="303">
        <v>151583610</v>
      </c>
      <c r="E31" s="303">
        <v>0</v>
      </c>
      <c r="F31" s="303">
        <v>151794</v>
      </c>
      <c r="G31" s="22"/>
    </row>
    <row r="32" spans="1:9">
      <c r="A32" s="41">
        <v>69</v>
      </c>
      <c r="B32" s="41" t="s">
        <v>6337</v>
      </c>
      <c r="C32" s="41" t="s">
        <v>6338</v>
      </c>
      <c r="D32" s="41">
        <v>86650200</v>
      </c>
      <c r="E32" s="41">
        <v>0</v>
      </c>
      <c r="F32" s="41">
        <v>420268653</v>
      </c>
      <c r="G32" s="22"/>
    </row>
    <row r="33" spans="1:9">
      <c r="A33" s="41">
        <v>71</v>
      </c>
      <c r="B33" s="41" t="s">
        <v>6337</v>
      </c>
      <c r="C33" s="41" t="s">
        <v>6339</v>
      </c>
      <c r="D33" s="41">
        <v>135477677</v>
      </c>
      <c r="E33" s="41">
        <v>0</v>
      </c>
      <c r="F33" s="41">
        <v>223507936</v>
      </c>
      <c r="G33" s="22"/>
    </row>
    <row r="34" spans="1:9">
      <c r="A34" s="41">
        <v>73</v>
      </c>
      <c r="B34" s="41" t="s">
        <v>6337</v>
      </c>
      <c r="C34" s="41" t="s">
        <v>6340</v>
      </c>
      <c r="D34" s="41">
        <v>69492638</v>
      </c>
      <c r="E34" s="41">
        <v>0</v>
      </c>
      <c r="F34" s="41">
        <v>153774186</v>
      </c>
      <c r="G34" s="22"/>
    </row>
    <row r="35" spans="1:9">
      <c r="A35" s="41">
        <v>79</v>
      </c>
      <c r="B35" s="41" t="s">
        <v>6341</v>
      </c>
      <c r="C35" s="41" t="s">
        <v>6342</v>
      </c>
      <c r="D35" s="41">
        <v>338468093</v>
      </c>
      <c r="E35" s="41">
        <v>0</v>
      </c>
      <c r="F35" s="41">
        <v>-338350050</v>
      </c>
      <c r="G35" s="22"/>
    </row>
    <row r="36" spans="1:9">
      <c r="A36" s="41">
        <v>80</v>
      </c>
      <c r="B36" s="41" t="s">
        <v>6343</v>
      </c>
      <c r="C36" s="41" t="s">
        <v>6344</v>
      </c>
      <c r="D36" s="41">
        <v>330081591</v>
      </c>
      <c r="E36" s="41">
        <v>0</v>
      </c>
      <c r="F36" s="41">
        <v>-330057613</v>
      </c>
      <c r="G36" s="22"/>
    </row>
    <row r="37" spans="1:9">
      <c r="A37" s="41">
        <v>81</v>
      </c>
      <c r="B37" s="41" t="s">
        <v>6343</v>
      </c>
      <c r="C37" s="41" t="s">
        <v>6345</v>
      </c>
      <c r="D37" s="41">
        <v>169824344</v>
      </c>
      <c r="E37" s="41">
        <v>0</v>
      </c>
      <c r="F37" s="41">
        <v>-499881957</v>
      </c>
      <c r="G37" s="22"/>
    </row>
    <row r="38" spans="1:9">
      <c r="A38" s="41">
        <v>82</v>
      </c>
      <c r="B38" s="41" t="s">
        <v>6346</v>
      </c>
      <c r="C38" s="41" t="s">
        <v>6347</v>
      </c>
      <c r="D38" s="41">
        <v>176497082</v>
      </c>
      <c r="E38" s="41">
        <v>0</v>
      </c>
      <c r="F38" s="41">
        <v>152229958</v>
      </c>
      <c r="G38" s="22"/>
    </row>
    <row r="39" spans="1:9">
      <c r="A39" s="41">
        <v>83</v>
      </c>
      <c r="B39" s="41" t="s">
        <v>6346</v>
      </c>
      <c r="C39" s="41" t="s">
        <v>6348</v>
      </c>
      <c r="D39" s="41">
        <v>152205980</v>
      </c>
      <c r="E39" s="41">
        <v>0</v>
      </c>
      <c r="F39" s="41">
        <v>23978</v>
      </c>
      <c r="G39" s="22"/>
    </row>
    <row r="40" spans="1:9">
      <c r="A40" s="41">
        <v>85</v>
      </c>
      <c r="B40" s="41" t="s">
        <v>6349</v>
      </c>
      <c r="C40" s="41" t="s">
        <v>6350</v>
      </c>
      <c r="D40" s="41">
        <v>170329802</v>
      </c>
      <c r="E40" s="41">
        <v>0</v>
      </c>
      <c r="F40" s="41">
        <v>329670198</v>
      </c>
      <c r="G40" s="22"/>
    </row>
    <row r="41" spans="1:9">
      <c r="A41" s="41">
        <v>86</v>
      </c>
      <c r="B41" s="41" t="s">
        <v>6351</v>
      </c>
      <c r="C41" s="41" t="s">
        <v>6352</v>
      </c>
      <c r="D41" s="41">
        <v>0</v>
      </c>
      <c r="E41" s="41">
        <v>0</v>
      </c>
      <c r="F41" s="41">
        <v>0</v>
      </c>
      <c r="H41" s="94">
        <f>SUM(H6:H40)</f>
        <v>4206951.7</v>
      </c>
      <c r="I41" s="94">
        <f>SUM(I6:I40)</f>
        <v>2103475.85</v>
      </c>
    </row>
    <row r="42" spans="1:9">
      <c r="A42" s="41">
        <v>87</v>
      </c>
      <c r="G42" s="22"/>
      <c r="H42" s="22" t="s">
        <v>6353</v>
      </c>
      <c r="I42" s="94" t="s">
        <v>6354</v>
      </c>
    </row>
    <row r="43" spans="1:9">
      <c r="G43" s="22"/>
    </row>
  </sheetData>
  <mergeCells count="2">
    <mergeCell ref="B1:C1"/>
    <mergeCell ref="D1:E1"/>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7" t="s">
        <v>4391</v>
      </c>
      <c r="C1" s="166" t="s">
        <v>4271</v>
      </c>
      <c r="D1" s="166" t="s">
        <v>180</v>
      </c>
      <c r="J1" s="166" t="s">
        <v>3623</v>
      </c>
      <c r="K1" s="166" t="s">
        <v>180</v>
      </c>
      <c r="L1" s="166" t="s">
        <v>4432</v>
      </c>
      <c r="M1" s="166" t="s">
        <v>920</v>
      </c>
      <c r="N1" s="54" t="s">
        <v>923</v>
      </c>
      <c r="O1" s="97" t="s">
        <v>8</v>
      </c>
    </row>
    <row r="2" spans="1:20">
      <c r="A2" s="97" t="s">
        <v>4216</v>
      </c>
      <c r="B2" s="198">
        <v>1707</v>
      </c>
      <c r="C2" s="199" t="s">
        <v>4542</v>
      </c>
      <c r="D2" s="97" t="s">
        <v>4447</v>
      </c>
      <c r="J2" s="166">
        <v>1</v>
      </c>
      <c r="K2" s="166" t="s">
        <v>4258</v>
      </c>
      <c r="L2" s="111">
        <v>4270000</v>
      </c>
      <c r="M2" s="166">
        <v>10</v>
      </c>
      <c r="N2" s="111">
        <f>L2*M2</f>
        <v>42700000</v>
      </c>
      <c r="O2" s="97" t="s">
        <v>743</v>
      </c>
    </row>
    <row r="3" spans="1:20">
      <c r="A3" s="97" t="s">
        <v>4520</v>
      </c>
      <c r="B3" s="198">
        <v>1184</v>
      </c>
      <c r="C3" s="199" t="s">
        <v>4526</v>
      </c>
      <c r="D3" s="97"/>
      <c r="J3" s="166">
        <v>2</v>
      </c>
      <c r="K3" s="166" t="s">
        <v>4443</v>
      </c>
      <c r="L3" s="111">
        <v>3845000</v>
      </c>
      <c r="M3" s="166">
        <v>4</v>
      </c>
      <c r="N3" s="111">
        <f>L3*M3</f>
        <v>15380000</v>
      </c>
      <c r="O3" s="97" t="s">
        <v>452</v>
      </c>
    </row>
    <row r="4" spans="1:20">
      <c r="A4" s="97" t="s">
        <v>4521</v>
      </c>
      <c r="B4" s="198">
        <v>1804</v>
      </c>
      <c r="C4" s="199" t="s">
        <v>4527</v>
      </c>
      <c r="D4" s="97"/>
      <c r="F4" t="s">
        <v>25</v>
      </c>
      <c r="J4" s="166">
        <v>3</v>
      </c>
      <c r="K4" s="166" t="s">
        <v>4204</v>
      </c>
      <c r="L4" s="111">
        <v>3390000</v>
      </c>
      <c r="M4" s="166">
        <v>2</v>
      </c>
      <c r="N4" s="111">
        <f>L4*M4</f>
        <v>6780000</v>
      </c>
      <c r="O4" s="97" t="s">
        <v>743</v>
      </c>
    </row>
    <row r="5" spans="1:20">
      <c r="A5" s="97"/>
      <c r="B5" s="198"/>
      <c r="C5" s="199"/>
      <c r="D5" s="97"/>
      <c r="J5" s="209">
        <v>4</v>
      </c>
      <c r="K5" s="209" t="s">
        <v>4545</v>
      </c>
      <c r="L5" s="210">
        <v>0</v>
      </c>
      <c r="M5" s="209">
        <v>3</v>
      </c>
      <c r="N5" s="210">
        <f>L5*M5</f>
        <v>0</v>
      </c>
      <c r="O5" s="211" t="s">
        <v>4548</v>
      </c>
    </row>
    <row r="6" spans="1:20">
      <c r="A6" s="97" t="s">
        <v>1068</v>
      </c>
      <c r="B6" s="198">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8">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8">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8">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8">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8"/>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8">
        <v>3965312</v>
      </c>
      <c r="C12" s="167"/>
      <c r="D12" s="57" t="s">
        <v>4773</v>
      </c>
      <c r="F12" s="112">
        <v>0</v>
      </c>
      <c r="J12" s="166">
        <v>11</v>
      </c>
      <c r="K12" s="166" t="s">
        <v>4580</v>
      </c>
      <c r="L12" s="111">
        <v>4374525</v>
      </c>
      <c r="M12" s="166">
        <v>1</v>
      </c>
      <c r="N12" s="111">
        <v>4374525</v>
      </c>
      <c r="O12" s="97" t="s">
        <v>743</v>
      </c>
      <c r="P12" s="94"/>
      <c r="Q12" s="94"/>
      <c r="R12" s="94"/>
      <c r="S12" s="94"/>
    </row>
    <row r="13" spans="1:20">
      <c r="A13" s="97"/>
      <c r="B13" s="198"/>
      <c r="C13" s="167"/>
      <c r="D13" s="97"/>
      <c r="F13" s="112">
        <v>0</v>
      </c>
      <c r="J13" s="166">
        <v>12</v>
      </c>
      <c r="K13" s="166" t="s">
        <v>4580</v>
      </c>
      <c r="L13" s="111">
        <v>4374525</v>
      </c>
      <c r="M13" s="166">
        <v>1</v>
      </c>
      <c r="N13" s="111">
        <v>4374525</v>
      </c>
      <c r="O13" s="97" t="s">
        <v>452</v>
      </c>
      <c r="P13" s="94"/>
      <c r="Q13" s="94"/>
      <c r="R13" s="94"/>
      <c r="S13" s="94"/>
    </row>
    <row r="14" spans="1:20">
      <c r="A14" s="97"/>
      <c r="B14" s="198"/>
      <c r="C14" s="167"/>
      <c r="D14" s="97"/>
      <c r="F14" s="112">
        <v>0</v>
      </c>
      <c r="J14" s="166">
        <v>13</v>
      </c>
      <c r="K14" s="166" t="s">
        <v>4591</v>
      </c>
      <c r="L14" s="167">
        <v>4367053</v>
      </c>
      <c r="M14" s="166">
        <v>1.5</v>
      </c>
      <c r="N14" s="111">
        <v>6550580</v>
      </c>
      <c r="O14" s="97" t="s">
        <v>743</v>
      </c>
    </row>
    <row r="15" spans="1:20">
      <c r="A15" s="97"/>
      <c r="B15" s="198"/>
      <c r="C15" s="167"/>
      <c r="D15" s="97"/>
      <c r="F15" s="112">
        <f>B12+F7+F8+F9+F10+F11+F12+F13+F14</f>
        <v>3965312</v>
      </c>
      <c r="J15" s="166">
        <v>14</v>
      </c>
      <c r="K15" s="166" t="s">
        <v>4591</v>
      </c>
      <c r="L15" s="167">
        <v>4367053</v>
      </c>
      <c r="M15" s="166">
        <v>1.5</v>
      </c>
      <c r="N15" s="111">
        <v>6550580</v>
      </c>
      <c r="O15" s="97" t="s">
        <v>452</v>
      </c>
    </row>
    <row r="16" spans="1:20">
      <c r="A16" s="97"/>
      <c r="B16" s="198"/>
      <c r="C16" s="167"/>
      <c r="D16" s="97"/>
      <c r="J16" s="203">
        <v>15</v>
      </c>
      <c r="K16" s="203" t="s">
        <v>4593</v>
      </c>
      <c r="L16" s="167">
        <v>4433930</v>
      </c>
      <c r="M16" s="203">
        <v>1.5</v>
      </c>
      <c r="N16" s="111">
        <f>L16*M16</f>
        <v>6650895</v>
      </c>
      <c r="O16" s="97" t="s">
        <v>743</v>
      </c>
    </row>
    <row r="17" spans="1:20">
      <c r="A17" s="97"/>
      <c r="J17" s="203">
        <v>16</v>
      </c>
      <c r="K17" s="203" t="s">
        <v>4593</v>
      </c>
      <c r="L17" s="167">
        <v>4433930</v>
      </c>
      <c r="M17" s="203">
        <v>1.5</v>
      </c>
      <c r="N17" s="111">
        <f>L17*M17</f>
        <v>6650895</v>
      </c>
      <c r="O17" s="97" t="s">
        <v>452</v>
      </c>
    </row>
    <row r="18" spans="1:20">
      <c r="A18" s="94"/>
      <c r="B18" s="94"/>
      <c r="C18" s="94"/>
      <c r="D18" s="94"/>
      <c r="J18" s="205">
        <v>17</v>
      </c>
      <c r="K18" s="205" t="s">
        <v>4606</v>
      </c>
      <c r="L18" s="167">
        <v>4291628</v>
      </c>
      <c r="M18" s="205">
        <v>0.5</v>
      </c>
      <c r="N18" s="111">
        <v>2145814</v>
      </c>
      <c r="O18" s="97" t="s">
        <v>743</v>
      </c>
    </row>
    <row r="19" spans="1:20">
      <c r="A19" s="94"/>
      <c r="B19" s="94"/>
      <c r="C19" s="94"/>
      <c r="D19" s="94"/>
      <c r="J19" s="205">
        <v>18</v>
      </c>
      <c r="K19" s="205" t="s">
        <v>4606</v>
      </c>
      <c r="L19" s="167">
        <v>4291628</v>
      </c>
      <c r="M19" s="205">
        <v>0.5</v>
      </c>
      <c r="N19" s="111">
        <v>2145814</v>
      </c>
      <c r="O19" s="97" t="s">
        <v>452</v>
      </c>
      <c r="R19" t="s">
        <v>25</v>
      </c>
      <c r="T19" t="s">
        <v>25</v>
      </c>
    </row>
    <row r="20" spans="1:20">
      <c r="J20" s="205">
        <v>19</v>
      </c>
      <c r="K20" s="205" t="s">
        <v>4617</v>
      </c>
      <c r="L20" s="167">
        <v>4369730</v>
      </c>
      <c r="M20" s="205">
        <v>1</v>
      </c>
      <c r="N20" s="111">
        <f t="shared" ref="N20:N38" si="0">L20*M20</f>
        <v>4369730</v>
      </c>
      <c r="O20" s="97" t="s">
        <v>743</v>
      </c>
    </row>
    <row r="21" spans="1:20">
      <c r="J21" s="205">
        <v>20</v>
      </c>
      <c r="K21" s="205" t="s">
        <v>4617</v>
      </c>
      <c r="L21" s="167">
        <v>4369730</v>
      </c>
      <c r="M21" s="205">
        <v>1</v>
      </c>
      <c r="N21" s="111">
        <f t="shared" si="0"/>
        <v>4369730</v>
      </c>
      <c r="O21" s="97" t="s">
        <v>452</v>
      </c>
      <c r="R21" t="s">
        <v>25</v>
      </c>
    </row>
    <row r="22" spans="1:20">
      <c r="J22" s="166">
        <v>21</v>
      </c>
      <c r="K22" s="166" t="s">
        <v>4618</v>
      </c>
      <c r="L22" s="111">
        <v>4398820</v>
      </c>
      <c r="M22" s="166">
        <v>2</v>
      </c>
      <c r="N22" s="111">
        <f t="shared" si="0"/>
        <v>8797640</v>
      </c>
      <c r="O22" s="97" t="s">
        <v>743</v>
      </c>
      <c r="R22" t="s">
        <v>25</v>
      </c>
    </row>
    <row r="23" spans="1:20">
      <c r="A23" s="97" t="s">
        <v>180</v>
      </c>
      <c r="B23" s="97" t="s">
        <v>4611</v>
      </c>
      <c r="C23" s="97" t="s">
        <v>4612</v>
      </c>
      <c r="D23" s="97" t="s">
        <v>4613</v>
      </c>
      <c r="E23" s="67" t="s">
        <v>4614</v>
      </c>
      <c r="J23" s="205">
        <v>22</v>
      </c>
      <c r="K23" s="205" t="s">
        <v>4618</v>
      </c>
      <c r="L23" s="111">
        <v>4398820</v>
      </c>
      <c r="M23" s="205">
        <v>2</v>
      </c>
      <c r="N23" s="111">
        <f t="shared" si="0"/>
        <v>8797640</v>
      </c>
      <c r="O23" s="97" t="s">
        <v>452</v>
      </c>
      <c r="Q23" t="s">
        <v>25</v>
      </c>
      <c r="R23" t="s">
        <v>25</v>
      </c>
    </row>
    <row r="24" spans="1:20">
      <c r="A24" s="97" t="s">
        <v>4582</v>
      </c>
      <c r="B24" s="93">
        <v>4080000</v>
      </c>
      <c r="C24" s="93">
        <v>4200000</v>
      </c>
      <c r="D24" s="93"/>
      <c r="E24" s="93"/>
      <c r="J24" s="209">
        <v>23</v>
      </c>
      <c r="K24" s="209" t="s">
        <v>4618</v>
      </c>
      <c r="L24" s="210">
        <v>4388600</v>
      </c>
      <c r="M24" s="209">
        <v>5</v>
      </c>
      <c r="N24" s="210">
        <f t="shared" si="0"/>
        <v>21943000</v>
      </c>
      <c r="O24" s="211" t="s">
        <v>4629</v>
      </c>
    </row>
    <row r="25" spans="1:20">
      <c r="A25" s="97" t="s">
        <v>4591</v>
      </c>
      <c r="B25" s="93">
        <v>4100000</v>
      </c>
      <c r="C25" s="93">
        <v>4230000</v>
      </c>
      <c r="D25" s="93"/>
      <c r="E25" s="93"/>
      <c r="J25" s="205">
        <v>24</v>
      </c>
      <c r="K25" s="205" t="s">
        <v>4619</v>
      </c>
      <c r="L25" s="111">
        <v>4445103</v>
      </c>
      <c r="M25" s="205">
        <v>1.5</v>
      </c>
      <c r="N25" s="111">
        <f t="shared" si="0"/>
        <v>6667654.5</v>
      </c>
      <c r="O25" s="97" t="s">
        <v>743</v>
      </c>
    </row>
    <row r="26" spans="1:20">
      <c r="A26" s="97" t="s">
        <v>4593</v>
      </c>
      <c r="B26" s="93">
        <v>4230000</v>
      </c>
      <c r="C26" s="93">
        <v>4330000</v>
      </c>
      <c r="D26" s="93">
        <v>12200</v>
      </c>
      <c r="E26" s="93">
        <v>12350</v>
      </c>
      <c r="J26" s="205">
        <v>25</v>
      </c>
      <c r="K26" s="205" t="s">
        <v>4619</v>
      </c>
      <c r="L26" s="111">
        <v>4445103</v>
      </c>
      <c r="M26" s="205">
        <v>1.5</v>
      </c>
      <c r="N26" s="111">
        <f t="shared" si="0"/>
        <v>6667654.5</v>
      </c>
      <c r="O26" s="97" t="s">
        <v>452</v>
      </c>
      <c r="R26" t="s">
        <v>25</v>
      </c>
    </row>
    <row r="27" spans="1:20">
      <c r="A27" s="97" t="s">
        <v>4601</v>
      </c>
      <c r="B27" s="93">
        <v>4270000</v>
      </c>
      <c r="C27" s="93">
        <v>4370000</v>
      </c>
      <c r="D27" s="93"/>
      <c r="E27" s="93"/>
      <c r="J27" s="205">
        <v>26</v>
      </c>
      <c r="K27" s="205" t="s">
        <v>4628</v>
      </c>
      <c r="L27" s="111">
        <v>4490623</v>
      </c>
      <c r="M27" s="205">
        <v>2</v>
      </c>
      <c r="N27" s="111">
        <f t="shared" si="0"/>
        <v>8981246</v>
      </c>
      <c r="O27" s="97" t="s">
        <v>743</v>
      </c>
      <c r="R27" t="s">
        <v>25</v>
      </c>
      <c r="S27" t="s">
        <v>25</v>
      </c>
    </row>
    <row r="28" spans="1:20">
      <c r="A28" s="97" t="s">
        <v>4606</v>
      </c>
      <c r="B28" s="93">
        <v>3980000</v>
      </c>
      <c r="C28" s="93">
        <v>4120000</v>
      </c>
      <c r="D28" s="93">
        <v>11450</v>
      </c>
      <c r="E28" s="93">
        <v>11650</v>
      </c>
      <c r="J28" s="205">
        <v>27</v>
      </c>
      <c r="K28" s="205" t="s">
        <v>4628</v>
      </c>
      <c r="L28" s="111">
        <v>4490623</v>
      </c>
      <c r="M28" s="205">
        <v>2</v>
      </c>
      <c r="N28" s="111">
        <f t="shared" si="0"/>
        <v>8981246</v>
      </c>
      <c r="O28" s="97" t="s">
        <v>452</v>
      </c>
    </row>
    <row r="29" spans="1:20">
      <c r="A29" s="97" t="s">
        <v>4608</v>
      </c>
      <c r="B29" s="93">
        <v>4120000</v>
      </c>
      <c r="C29" s="93">
        <v>4230000</v>
      </c>
      <c r="D29" s="93">
        <v>11650</v>
      </c>
      <c r="E29" s="93">
        <v>11750</v>
      </c>
      <c r="J29" s="205">
        <v>28</v>
      </c>
      <c r="K29" s="205" t="s">
        <v>3666</v>
      </c>
      <c r="L29" s="111">
        <v>4590878</v>
      </c>
      <c r="M29" s="205">
        <v>2</v>
      </c>
      <c r="N29" s="111">
        <f t="shared" si="0"/>
        <v>9181756</v>
      </c>
      <c r="O29" s="97" t="s">
        <v>743</v>
      </c>
    </row>
    <row r="30" spans="1:20">
      <c r="A30" s="97" t="s">
        <v>4609</v>
      </c>
      <c r="B30" s="93">
        <v>4170000</v>
      </c>
      <c r="C30" s="93">
        <v>4280000</v>
      </c>
      <c r="D30" s="93">
        <v>11750</v>
      </c>
      <c r="E30" s="93">
        <v>11900</v>
      </c>
      <c r="J30" s="205">
        <v>29</v>
      </c>
      <c r="K30" s="205" t="s">
        <v>3666</v>
      </c>
      <c r="L30" s="111">
        <v>4590878</v>
      </c>
      <c r="M30" s="205">
        <v>2</v>
      </c>
      <c r="N30" s="111">
        <f t="shared" si="0"/>
        <v>9181756</v>
      </c>
      <c r="O30" s="97" t="s">
        <v>452</v>
      </c>
      <c r="R30" t="s">
        <v>25</v>
      </c>
    </row>
    <row r="31" spans="1:20">
      <c r="A31" s="97" t="s">
        <v>4615</v>
      </c>
      <c r="B31" s="93">
        <v>4130000</v>
      </c>
      <c r="C31" s="93">
        <v>4260000</v>
      </c>
      <c r="D31" s="93">
        <v>11850</v>
      </c>
      <c r="E31" s="93">
        <v>11950</v>
      </c>
      <c r="J31" s="205">
        <v>30</v>
      </c>
      <c r="K31" s="205" t="s">
        <v>4640</v>
      </c>
      <c r="L31" s="111">
        <v>4724483</v>
      </c>
      <c r="M31" s="205">
        <v>2.5</v>
      </c>
      <c r="N31" s="111">
        <f t="shared" si="0"/>
        <v>11811207.5</v>
      </c>
      <c r="O31" s="97" t="s">
        <v>743</v>
      </c>
    </row>
    <row r="32" spans="1:20">
      <c r="A32" s="97" t="s">
        <v>4617</v>
      </c>
      <c r="B32" s="93">
        <v>4100000</v>
      </c>
      <c r="C32" s="93">
        <v>4220000</v>
      </c>
      <c r="D32" s="93">
        <v>11800</v>
      </c>
      <c r="E32" s="93">
        <v>11980</v>
      </c>
      <c r="J32" s="205">
        <v>31</v>
      </c>
      <c r="K32" s="205" t="s">
        <v>4640</v>
      </c>
      <c r="L32" s="111">
        <v>4724483</v>
      </c>
      <c r="M32" s="205">
        <v>2.5</v>
      </c>
      <c r="N32" s="111">
        <f t="shared" si="0"/>
        <v>11811207.5</v>
      </c>
      <c r="O32" s="97" t="s">
        <v>452</v>
      </c>
    </row>
    <row r="33" spans="1:19">
      <c r="A33" s="97" t="s">
        <v>4618</v>
      </c>
      <c r="B33" s="93">
        <v>4220000</v>
      </c>
      <c r="C33" s="93">
        <v>4320000</v>
      </c>
      <c r="D33" s="93">
        <v>11900</v>
      </c>
      <c r="E33" s="93">
        <v>12050</v>
      </c>
      <c r="J33" s="205">
        <v>32</v>
      </c>
      <c r="K33" s="205" t="s">
        <v>4653</v>
      </c>
      <c r="L33" s="111">
        <v>4852712</v>
      </c>
      <c r="M33" s="205">
        <v>8.5</v>
      </c>
      <c r="N33" s="111">
        <f t="shared" si="0"/>
        <v>41248052</v>
      </c>
      <c r="O33" s="97" t="s">
        <v>743</v>
      </c>
    </row>
    <row r="34" spans="1:19">
      <c r="A34" s="97" t="s">
        <v>4619</v>
      </c>
      <c r="B34" s="93">
        <v>4240000</v>
      </c>
      <c r="C34" s="93">
        <v>4340000</v>
      </c>
      <c r="D34" s="93">
        <v>12100</v>
      </c>
      <c r="E34" s="93">
        <v>12250</v>
      </c>
      <c r="I34" t="s">
        <v>25</v>
      </c>
      <c r="J34" s="205">
        <v>33</v>
      </c>
      <c r="K34" s="205" t="s">
        <v>4653</v>
      </c>
      <c r="L34" s="111">
        <v>4852712</v>
      </c>
      <c r="M34" s="205">
        <v>8.5</v>
      </c>
      <c r="N34" s="111">
        <f t="shared" si="0"/>
        <v>41248052</v>
      </c>
      <c r="O34" s="97" t="s">
        <v>452</v>
      </c>
    </row>
    <row r="35" spans="1:19">
      <c r="A35" s="97" t="s">
        <v>4628</v>
      </c>
      <c r="B35" s="93">
        <v>4230000</v>
      </c>
      <c r="C35" s="93">
        <v>4370000</v>
      </c>
      <c r="D35" s="93">
        <v>12100</v>
      </c>
      <c r="E35" s="93">
        <v>12250</v>
      </c>
      <c r="J35" s="205">
        <v>34</v>
      </c>
      <c r="K35" s="205" t="s">
        <v>4655</v>
      </c>
      <c r="L35" s="111">
        <v>4977171</v>
      </c>
      <c r="M35" s="205">
        <v>7.5</v>
      </c>
      <c r="N35" s="111">
        <f t="shared" si="0"/>
        <v>37328782.5</v>
      </c>
      <c r="O35" s="97" t="s">
        <v>743</v>
      </c>
    </row>
    <row r="36" spans="1:19">
      <c r="A36" s="97" t="s">
        <v>3666</v>
      </c>
      <c r="B36" s="93">
        <v>4300000</v>
      </c>
      <c r="C36" s="93">
        <v>4420000</v>
      </c>
      <c r="D36" s="93">
        <v>12300</v>
      </c>
      <c r="E36" s="93">
        <v>12400</v>
      </c>
      <c r="J36" s="205">
        <v>35</v>
      </c>
      <c r="K36" s="205" t="s">
        <v>4655</v>
      </c>
      <c r="L36" s="111">
        <v>4977171</v>
      </c>
      <c r="M36" s="205">
        <v>7.5</v>
      </c>
      <c r="N36" s="111">
        <f t="shared" si="0"/>
        <v>37328782.5</v>
      </c>
      <c r="O36" s="97" t="s">
        <v>452</v>
      </c>
      <c r="R36" s="94"/>
    </row>
    <row r="37" spans="1:19">
      <c r="A37" s="97" t="s">
        <v>4640</v>
      </c>
      <c r="B37" s="93">
        <v>4370000</v>
      </c>
      <c r="C37" s="93">
        <v>4480000</v>
      </c>
      <c r="D37" s="93">
        <v>12600</v>
      </c>
      <c r="E37" s="93">
        <v>12700</v>
      </c>
      <c r="J37" s="205">
        <v>36</v>
      </c>
      <c r="K37" s="205" t="s">
        <v>4773</v>
      </c>
      <c r="L37" s="111">
        <v>5048479</v>
      </c>
      <c r="M37" s="205">
        <v>4</v>
      </c>
      <c r="N37" s="111">
        <f t="shared" si="0"/>
        <v>20193916</v>
      </c>
      <c r="O37" s="97" t="s">
        <v>743</v>
      </c>
    </row>
    <row r="38" spans="1:19">
      <c r="A38" s="97" t="s">
        <v>4643</v>
      </c>
      <c r="B38" s="93">
        <v>4470000</v>
      </c>
      <c r="C38" s="93">
        <v>4580000</v>
      </c>
      <c r="D38" s="93">
        <v>13050</v>
      </c>
      <c r="E38" s="93">
        <v>13200</v>
      </c>
      <c r="J38" s="205">
        <v>37</v>
      </c>
      <c r="K38" s="205" t="s">
        <v>4773</v>
      </c>
      <c r="L38" s="111">
        <v>5048479</v>
      </c>
      <c r="M38" s="205">
        <v>9</v>
      </c>
      <c r="N38" s="111">
        <f t="shared" si="0"/>
        <v>45436311</v>
      </c>
      <c r="O38" s="97" t="s">
        <v>452</v>
      </c>
    </row>
    <row r="39" spans="1:19">
      <c r="A39" s="97" t="s">
        <v>4648</v>
      </c>
      <c r="B39" s="93">
        <v>4600000</v>
      </c>
      <c r="C39" s="93">
        <v>4720000</v>
      </c>
      <c r="D39" s="93"/>
      <c r="E39" s="93"/>
      <c r="J39" s="205"/>
      <c r="K39" s="205"/>
      <c r="L39" s="111"/>
      <c r="M39" s="205"/>
      <c r="N39" s="111"/>
      <c r="O39" s="97"/>
    </row>
    <row r="40" spans="1:19">
      <c r="A40" s="97" t="s">
        <v>4653</v>
      </c>
      <c r="B40" s="93">
        <v>4530000</v>
      </c>
      <c r="C40" s="93">
        <v>4680000</v>
      </c>
      <c r="D40" s="93">
        <v>13000</v>
      </c>
      <c r="E40" s="93">
        <v>13150</v>
      </c>
      <c r="J40" s="166"/>
      <c r="K40" s="166"/>
      <c r="L40" s="111" t="s">
        <v>25</v>
      </c>
      <c r="M40" s="166"/>
      <c r="N40" s="111"/>
      <c r="O40" s="97"/>
    </row>
    <row r="41" spans="1:19">
      <c r="A41" s="97" t="s">
        <v>4655</v>
      </c>
      <c r="B41" s="93">
        <v>4750000</v>
      </c>
      <c r="C41" s="93">
        <v>4900000</v>
      </c>
      <c r="D41" s="93">
        <v>13750</v>
      </c>
      <c r="E41" s="93">
        <v>13900</v>
      </c>
      <c r="J41" s="166"/>
      <c r="K41" s="166"/>
      <c r="L41" s="166"/>
      <c r="M41" s="166">
        <f>SUM(M2:M40)</f>
        <v>140</v>
      </c>
      <c r="N41" s="111">
        <f>SUM(N2:N40)</f>
        <v>618472600</v>
      </c>
      <c r="O41" s="167">
        <f>N41/(M41-3)</f>
        <v>4514398.5401459858</v>
      </c>
    </row>
    <row r="42" spans="1:19">
      <c r="A42" s="97" t="s">
        <v>4662</v>
      </c>
      <c r="B42" s="93">
        <v>4700000</v>
      </c>
      <c r="C42" s="93">
        <v>4850000</v>
      </c>
      <c r="D42" s="93">
        <v>13650</v>
      </c>
      <c r="E42" s="93">
        <v>13800</v>
      </c>
      <c r="J42" s="166"/>
      <c r="K42" s="166"/>
      <c r="L42" s="166"/>
      <c r="M42" s="166" t="s">
        <v>6</v>
      </c>
      <c r="N42" s="166"/>
      <c r="O42" s="97"/>
      <c r="P42">
        <f>O44/2</f>
        <v>37328780.5</v>
      </c>
      <c r="Q42">
        <f>O44/15</f>
        <v>4977170.7333333334</v>
      </c>
    </row>
    <row r="43" spans="1:19">
      <c r="A43" s="97" t="s">
        <v>4668</v>
      </c>
      <c r="B43" s="93">
        <v>4550000</v>
      </c>
      <c r="C43" s="93">
        <v>4750000</v>
      </c>
      <c r="D43" s="93">
        <v>13400</v>
      </c>
      <c r="E43" s="93">
        <v>13500</v>
      </c>
      <c r="M43" s="111">
        <f>N41/(M41-3)</f>
        <v>4514398.5401459858</v>
      </c>
      <c r="S43" t="s">
        <v>25</v>
      </c>
    </row>
    <row r="44" spans="1:19">
      <c r="A44" s="97" t="s">
        <v>4674</v>
      </c>
      <c r="B44" s="93">
        <v>4580000</v>
      </c>
      <c r="C44" s="93">
        <v>4750000</v>
      </c>
      <c r="D44" s="93">
        <v>13350</v>
      </c>
      <c r="E44" s="93">
        <v>13500</v>
      </c>
      <c r="I44" s="41"/>
      <c r="M44" s="41" t="s">
        <v>4468</v>
      </c>
      <c r="N44" t="s">
        <v>25</v>
      </c>
      <c r="O44" s="212">
        <v>74657561</v>
      </c>
      <c r="R44" t="s">
        <v>25</v>
      </c>
    </row>
    <row r="45" spans="1:19">
      <c r="A45" s="97" t="s">
        <v>4682</v>
      </c>
      <c r="B45" s="93">
        <v>4500000</v>
      </c>
      <c r="C45" s="93">
        <v>4650000</v>
      </c>
      <c r="D45" s="93">
        <v>13250</v>
      </c>
      <c r="E45" s="93">
        <v>13450</v>
      </c>
    </row>
    <row r="46" spans="1:19">
      <c r="A46" s="97" t="s">
        <v>4687</v>
      </c>
      <c r="B46" s="93">
        <v>4620000</v>
      </c>
      <c r="C46" s="93">
        <v>4770000</v>
      </c>
      <c r="D46" s="93">
        <v>13600</v>
      </c>
      <c r="E46" s="93">
        <v>13700</v>
      </c>
    </row>
    <row r="47" spans="1:19">
      <c r="A47" s="97" t="s">
        <v>4691</v>
      </c>
      <c r="B47" s="93">
        <v>4400000</v>
      </c>
      <c r="C47" s="93">
        <v>4600000</v>
      </c>
      <c r="D47" s="93">
        <v>13200</v>
      </c>
      <c r="E47" s="93">
        <v>13400</v>
      </c>
      <c r="L47">
        <f>140-M41</f>
        <v>0</v>
      </c>
      <c r="M47">
        <f>70-M2-M4-M5-M7-M9-M10-M12-M14-M16-M18-M20-M22-M25-M27-M29-M31-M33-M35-M37</f>
        <v>0</v>
      </c>
      <c r="N47" t="s">
        <v>480</v>
      </c>
    </row>
    <row r="48" spans="1:19">
      <c r="A48" s="97" t="s">
        <v>4692</v>
      </c>
      <c r="B48" s="93">
        <v>4250000</v>
      </c>
      <c r="C48" s="93">
        <v>4450000</v>
      </c>
      <c r="D48" s="93">
        <v>12750</v>
      </c>
      <c r="E48" s="93">
        <v>12900</v>
      </c>
      <c r="M48">
        <f>65-M3-M6-M8-M11-M13-M15-M17-M19-M21-M23-M26-M28-M30-M32-M34-M36-M38</f>
        <v>0</v>
      </c>
      <c r="N48" t="s">
        <v>5</v>
      </c>
    </row>
    <row r="49" spans="1:17">
      <c r="A49" s="97" t="s">
        <v>4699</v>
      </c>
      <c r="B49" s="93">
        <v>4380000</v>
      </c>
      <c r="C49" s="93">
        <v>4520000</v>
      </c>
      <c r="D49" s="93">
        <v>12750</v>
      </c>
      <c r="E49" s="93">
        <v>12900</v>
      </c>
      <c r="K49">
        <v>16</v>
      </c>
      <c r="L49" s="212">
        <v>807756734</v>
      </c>
      <c r="M49">
        <f>L49/16</f>
        <v>50484795.875</v>
      </c>
      <c r="N49">
        <f>M49*4</f>
        <v>201939183.5</v>
      </c>
    </row>
    <row r="50" spans="1:17">
      <c r="A50" s="97" t="s">
        <v>4701</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4720</v>
      </c>
      <c r="B52" s="93">
        <v>4480000</v>
      </c>
      <c r="C52" s="93">
        <v>4600000</v>
      </c>
      <c r="D52" s="93">
        <v>13050</v>
      </c>
      <c r="E52" s="93">
        <v>13200</v>
      </c>
      <c r="K52" s="166" t="s">
        <v>4474</v>
      </c>
      <c r="L52" s="166" t="s">
        <v>1068</v>
      </c>
      <c r="M52" s="166" t="s">
        <v>4216</v>
      </c>
      <c r="N52" s="166" t="s">
        <v>4490</v>
      </c>
      <c r="O52" s="166"/>
    </row>
    <row r="53" spans="1:17">
      <c r="A53" s="97" t="s">
        <v>4722</v>
      </c>
      <c r="B53" s="93">
        <v>4400000</v>
      </c>
      <c r="C53" s="93">
        <v>4550000</v>
      </c>
      <c r="D53" s="93">
        <v>12850</v>
      </c>
      <c r="E53" s="93">
        <v>13000</v>
      </c>
      <c r="K53" s="166" t="s">
        <v>4467</v>
      </c>
      <c r="L53" s="166">
        <v>3390000</v>
      </c>
      <c r="M53" s="166">
        <v>161.4</v>
      </c>
      <c r="N53" s="166">
        <f>L53/M53</f>
        <v>21003.717472118959</v>
      </c>
      <c r="O53" s="166"/>
    </row>
    <row r="54" spans="1:17">
      <c r="A54" s="97" t="s">
        <v>4724</v>
      </c>
      <c r="B54" s="93">
        <v>4400000</v>
      </c>
      <c r="C54" s="93">
        <v>4520000</v>
      </c>
      <c r="D54" s="93">
        <v>12800</v>
      </c>
      <c r="E54" s="93">
        <v>12950</v>
      </c>
      <c r="K54" s="166"/>
      <c r="L54" s="166"/>
      <c r="M54" s="166"/>
      <c r="N54" s="166"/>
      <c r="O54" s="166"/>
    </row>
    <row r="55" spans="1:17">
      <c r="A55" s="97" t="s">
        <v>4727</v>
      </c>
      <c r="B55" s="93">
        <v>4460000</v>
      </c>
      <c r="C55" s="93">
        <v>4580000</v>
      </c>
      <c r="D55" s="93">
        <v>12850</v>
      </c>
      <c r="E55" s="93">
        <v>13000</v>
      </c>
      <c r="K55" s="166"/>
      <c r="L55" s="166"/>
      <c r="M55" s="166"/>
      <c r="N55" s="166"/>
      <c r="O55" s="166"/>
    </row>
    <row r="56" spans="1:17">
      <c r="A56" s="97" t="s">
        <v>4733</v>
      </c>
      <c r="B56" s="93">
        <v>4500000</v>
      </c>
      <c r="C56" s="93">
        <v>4620000</v>
      </c>
      <c r="D56" s="93">
        <v>13000</v>
      </c>
      <c r="E56" s="93">
        <v>13200</v>
      </c>
      <c r="K56" s="166"/>
      <c r="L56" s="166"/>
      <c r="M56" s="166"/>
      <c r="N56" s="166"/>
      <c r="O56" s="166"/>
    </row>
    <row r="57" spans="1:17">
      <c r="A57" s="97" t="s">
        <v>4738</v>
      </c>
      <c r="B57" s="93">
        <v>4450000</v>
      </c>
      <c r="C57" s="93">
        <v>4600000</v>
      </c>
      <c r="D57" s="93">
        <v>12850</v>
      </c>
      <c r="E57" s="93">
        <v>13050</v>
      </c>
      <c r="K57" s="166"/>
      <c r="L57" s="166"/>
      <c r="M57" s="166"/>
      <c r="N57" s="166"/>
      <c r="O57" s="166"/>
    </row>
    <row r="58" spans="1:17">
      <c r="A58" s="97" t="s">
        <v>4747</v>
      </c>
      <c r="B58" s="93">
        <v>4500000</v>
      </c>
      <c r="C58" s="93">
        <v>4650000</v>
      </c>
      <c r="D58" s="93">
        <v>12900</v>
      </c>
      <c r="E58" s="93">
        <v>13100</v>
      </c>
      <c r="K58" s="166"/>
      <c r="L58" s="166"/>
      <c r="M58" s="166"/>
      <c r="N58" s="166"/>
      <c r="O58" s="166"/>
    </row>
    <row r="59" spans="1:17">
      <c r="A59" s="97" t="s">
        <v>4773</v>
      </c>
      <c r="B59" s="93">
        <v>4700000</v>
      </c>
      <c r="C59" s="93">
        <v>4800000</v>
      </c>
      <c r="D59" s="93">
        <v>13300</v>
      </c>
      <c r="E59" s="93">
        <v>13450</v>
      </c>
      <c r="K59" s="166"/>
      <c r="L59" s="166"/>
      <c r="M59" s="166"/>
      <c r="N59" s="166"/>
      <c r="O59" s="166"/>
    </row>
    <row r="60" spans="1:17">
      <c r="A60" s="97" t="s">
        <v>4774</v>
      </c>
      <c r="B60" s="93">
        <v>4750000</v>
      </c>
      <c r="C60" s="93">
        <v>4850000</v>
      </c>
      <c r="D60" s="93">
        <v>13500</v>
      </c>
      <c r="E60" s="93">
        <v>13650</v>
      </c>
      <c r="K60" s="166"/>
      <c r="L60" s="166"/>
      <c r="M60" s="166"/>
      <c r="N60" s="166"/>
      <c r="O60" s="166"/>
    </row>
    <row r="61" spans="1:17">
      <c r="A61" s="97" t="s">
        <v>4781</v>
      </c>
      <c r="B61" s="93">
        <v>4850000</v>
      </c>
      <c r="C61" s="93">
        <v>4950000</v>
      </c>
      <c r="D61" s="93">
        <v>13750</v>
      </c>
      <c r="E61" s="93">
        <v>13900</v>
      </c>
    </row>
    <row r="62" spans="1:17">
      <c r="A62" s="97" t="s">
        <v>4797</v>
      </c>
      <c r="B62" s="93">
        <v>4680000</v>
      </c>
      <c r="C62" s="93">
        <v>4780000</v>
      </c>
      <c r="D62" s="93">
        <v>13500</v>
      </c>
      <c r="E62" s="93">
        <v>13650</v>
      </c>
    </row>
    <row r="63" spans="1:17">
      <c r="A63" s="97" t="s">
        <v>4876</v>
      </c>
      <c r="B63" s="93">
        <v>4700000</v>
      </c>
      <c r="C63" s="93">
        <v>4830000</v>
      </c>
      <c r="D63" s="93">
        <v>13850</v>
      </c>
      <c r="E63" s="93">
        <v>14050</v>
      </c>
      <c r="I63" s="205" t="s">
        <v>8</v>
      </c>
      <c r="J63" s="205" t="s">
        <v>4665</v>
      </c>
      <c r="K63" s="205" t="s">
        <v>180</v>
      </c>
      <c r="L63" s="214" t="s">
        <v>4663</v>
      </c>
      <c r="M63" s="214" t="s">
        <v>4664</v>
      </c>
      <c r="N63" s="205" t="s">
        <v>6</v>
      </c>
      <c r="O63" s="205" t="s">
        <v>4666</v>
      </c>
      <c r="P63" s="205" t="s">
        <v>4676</v>
      </c>
    </row>
    <row r="64" spans="1:17">
      <c r="A64" s="97" t="s">
        <v>4914</v>
      </c>
      <c r="B64" s="93">
        <v>4600000</v>
      </c>
      <c r="C64" s="93">
        <v>4700000</v>
      </c>
      <c r="D64" s="93">
        <v>13300</v>
      </c>
      <c r="E64" s="93">
        <v>13500</v>
      </c>
      <c r="G64" t="s">
        <v>25</v>
      </c>
      <c r="I64" s="205"/>
      <c r="J64" s="205"/>
      <c r="K64" s="205" t="s">
        <v>4618</v>
      </c>
      <c r="L64" s="82">
        <v>535989412</v>
      </c>
      <c r="M64" s="82"/>
      <c r="N64" s="205"/>
      <c r="O64" s="205"/>
      <c r="P64" s="205"/>
      <c r="Q64" s="82">
        <v>0</v>
      </c>
    </row>
    <row r="65" spans="1:17">
      <c r="A65" s="97" t="s">
        <v>4949</v>
      </c>
      <c r="B65" s="93">
        <v>4520000</v>
      </c>
      <c r="C65" s="93">
        <v>4620000</v>
      </c>
      <c r="D65" s="93">
        <v>12950</v>
      </c>
      <c r="E65" s="93">
        <v>13150</v>
      </c>
      <c r="I65" s="205"/>
      <c r="J65" s="111">
        <f>L65-L64</f>
        <v>12939932</v>
      </c>
      <c r="K65" s="205" t="s">
        <v>4643</v>
      </c>
      <c r="L65" s="82">
        <v>548929344</v>
      </c>
      <c r="M65" s="82"/>
      <c r="N65" s="205"/>
      <c r="O65" s="205"/>
      <c r="P65" s="205"/>
      <c r="Q65" s="82">
        <v>0</v>
      </c>
    </row>
    <row r="66" spans="1:17">
      <c r="A66" s="97" t="s">
        <v>4983</v>
      </c>
      <c r="B66" s="93">
        <v>3900000</v>
      </c>
      <c r="C66" s="93">
        <v>4050000</v>
      </c>
      <c r="D66" s="93">
        <v>10900</v>
      </c>
      <c r="E66" s="93">
        <v>11150</v>
      </c>
      <c r="F66" t="s">
        <v>25</v>
      </c>
      <c r="I66" s="205"/>
      <c r="J66" s="111">
        <f t="shared" ref="J66:J88" si="1">L66-L65</f>
        <v>11531981</v>
      </c>
      <c r="K66" s="205" t="s">
        <v>4648</v>
      </c>
      <c r="L66" s="82">
        <v>560461325</v>
      </c>
      <c r="M66" s="82"/>
      <c r="N66" s="205"/>
      <c r="O66" s="205"/>
      <c r="P66" s="205"/>
      <c r="Q66" s="82">
        <v>0</v>
      </c>
    </row>
    <row r="67" spans="1:17">
      <c r="A67" s="97" t="s">
        <v>5022</v>
      </c>
      <c r="B67" s="93">
        <v>3950000</v>
      </c>
      <c r="C67" s="93">
        <v>4070000</v>
      </c>
      <c r="D67" s="93">
        <v>11000</v>
      </c>
      <c r="E67" s="93">
        <v>11200</v>
      </c>
      <c r="I67" s="205"/>
      <c r="J67" s="111">
        <f t="shared" si="1"/>
        <v>17387769</v>
      </c>
      <c r="K67" s="205" t="s">
        <v>4653</v>
      </c>
      <c r="L67" s="82">
        <v>577849094</v>
      </c>
      <c r="M67" s="82"/>
      <c r="N67" s="205"/>
      <c r="O67" s="205"/>
      <c r="P67" s="205"/>
      <c r="Q67" s="82">
        <v>0</v>
      </c>
    </row>
    <row r="68" spans="1:17">
      <c r="A68" s="97" t="s">
        <v>5025</v>
      </c>
      <c r="B68" s="93">
        <v>4050000</v>
      </c>
      <c r="C68" s="93">
        <v>4150000</v>
      </c>
      <c r="D68" s="93">
        <v>11150</v>
      </c>
      <c r="E68" s="93">
        <v>11350</v>
      </c>
      <c r="I68" s="205"/>
      <c r="J68" s="111">
        <f t="shared" si="1"/>
        <v>11024486</v>
      </c>
      <c r="K68" s="205" t="s">
        <v>4655</v>
      </c>
      <c r="L68" s="82">
        <v>588873580</v>
      </c>
      <c r="M68" s="82">
        <v>250255923</v>
      </c>
      <c r="N68" s="111">
        <f>L68+M68</f>
        <v>839129503</v>
      </c>
      <c r="O68" s="111">
        <f>M68-M67</f>
        <v>250255923</v>
      </c>
      <c r="P68" s="111">
        <f>N68-N67</f>
        <v>839129503</v>
      </c>
      <c r="Q68" s="82">
        <v>0</v>
      </c>
    </row>
    <row r="69" spans="1:17">
      <c r="A69" s="97" t="s">
        <v>5046</v>
      </c>
      <c r="B69" s="93">
        <v>4060000</v>
      </c>
      <c r="C69" s="93">
        <v>4160000</v>
      </c>
      <c r="D69" s="93">
        <v>11500</v>
      </c>
      <c r="E69" s="93">
        <v>11700</v>
      </c>
      <c r="I69" s="205"/>
      <c r="J69" s="111">
        <f t="shared" si="1"/>
        <v>-8942851</v>
      </c>
      <c r="K69" s="205" t="s">
        <v>4662</v>
      </c>
      <c r="L69" s="216">
        <v>579930729</v>
      </c>
      <c r="M69" s="82">
        <v>247714729</v>
      </c>
      <c r="N69" s="111">
        <f t="shared" ref="N69:N91" si="2">L69+M69</f>
        <v>827645458</v>
      </c>
      <c r="O69" s="111">
        <f t="shared" ref="O69:O88" si="3">M69-M68</f>
        <v>-2541194</v>
      </c>
      <c r="P69" s="111">
        <f t="shared" ref="P69:P88" si="4">N69-N68</f>
        <v>-11484045</v>
      </c>
      <c r="Q69" s="82">
        <v>0</v>
      </c>
    </row>
    <row r="70" spans="1:17">
      <c r="A70" s="97" t="s">
        <v>5048</v>
      </c>
      <c r="B70" s="93">
        <v>4020000</v>
      </c>
      <c r="C70" s="93">
        <v>4120000</v>
      </c>
      <c r="D70" s="93">
        <v>11400</v>
      </c>
      <c r="E70" s="93">
        <v>11600</v>
      </c>
      <c r="I70" s="5" t="s">
        <v>4673</v>
      </c>
      <c r="J70" s="35">
        <f t="shared" si="1"/>
        <v>45893629</v>
      </c>
      <c r="K70" s="5" t="s">
        <v>4668</v>
      </c>
      <c r="L70" s="217">
        <v>625824358</v>
      </c>
      <c r="M70" s="217">
        <v>243028777</v>
      </c>
      <c r="N70" s="35">
        <f t="shared" si="2"/>
        <v>868853135</v>
      </c>
      <c r="O70" s="35">
        <f t="shared" si="3"/>
        <v>-4685952</v>
      </c>
      <c r="P70" s="35">
        <f>N70-N69-50000000</f>
        <v>-8792323</v>
      </c>
      <c r="Q70" s="82">
        <v>50000000</v>
      </c>
    </row>
    <row r="71" spans="1:17">
      <c r="A71" s="97" t="s">
        <v>5052</v>
      </c>
      <c r="B71" s="93">
        <v>3930000</v>
      </c>
      <c r="C71" s="93">
        <v>4030000</v>
      </c>
      <c r="D71" s="93">
        <v>11100</v>
      </c>
      <c r="E71" s="93">
        <v>11300</v>
      </c>
      <c r="I71" s="205"/>
      <c r="J71" s="111">
        <f t="shared" si="1"/>
        <v>3462014</v>
      </c>
      <c r="K71" s="205" t="s">
        <v>4674</v>
      </c>
      <c r="L71" s="82">
        <v>629286372</v>
      </c>
      <c r="M71" s="82">
        <v>246690884</v>
      </c>
      <c r="N71" s="111">
        <f t="shared" si="2"/>
        <v>875977256</v>
      </c>
      <c r="O71" s="111">
        <f t="shared" si="3"/>
        <v>3662107</v>
      </c>
      <c r="P71" s="111">
        <f t="shared" si="4"/>
        <v>7124121</v>
      </c>
      <c r="Q71" s="82">
        <v>0</v>
      </c>
    </row>
    <row r="72" spans="1:17">
      <c r="A72" s="97" t="s">
        <v>5054</v>
      </c>
      <c r="B72" s="93">
        <v>3950000</v>
      </c>
      <c r="C72" s="93">
        <v>4050000</v>
      </c>
      <c r="D72" s="93">
        <v>11200</v>
      </c>
      <c r="E72" s="93">
        <v>11300</v>
      </c>
      <c r="I72" s="205"/>
      <c r="J72" s="111">
        <f t="shared" si="1"/>
        <v>-2687296</v>
      </c>
      <c r="K72" s="205" t="s">
        <v>4687</v>
      </c>
      <c r="L72" s="82">
        <v>626599076</v>
      </c>
      <c r="M72" s="82">
        <v>244530128</v>
      </c>
      <c r="N72" s="111">
        <f t="shared" si="2"/>
        <v>871129204</v>
      </c>
      <c r="O72" s="111">
        <f t="shared" si="3"/>
        <v>-2160756</v>
      </c>
      <c r="P72" s="111">
        <f t="shared" si="4"/>
        <v>-4848052</v>
      </c>
      <c r="Q72" s="82">
        <v>0</v>
      </c>
    </row>
    <row r="73" spans="1:17">
      <c r="A73" s="97" t="s">
        <v>5055</v>
      </c>
      <c r="B73" s="93">
        <v>3970000</v>
      </c>
      <c r="C73" s="93">
        <v>4070000</v>
      </c>
      <c r="D73" s="93">
        <v>11250</v>
      </c>
      <c r="E73" s="93">
        <v>11400</v>
      </c>
      <c r="I73" s="205"/>
      <c r="J73" s="111">
        <f t="shared" si="1"/>
        <v>-6009466</v>
      </c>
      <c r="K73" s="205" t="s">
        <v>4691</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5"/>
      <c r="J74" s="111">
        <f t="shared" si="1"/>
        <v>-1273071</v>
      </c>
      <c r="K74" s="205" t="s">
        <v>4692</v>
      </c>
      <c r="L74" s="82">
        <v>619316539</v>
      </c>
      <c r="M74" s="82">
        <v>242985726</v>
      </c>
      <c r="N74" s="111">
        <f t="shared" si="2"/>
        <v>862302265</v>
      </c>
      <c r="O74" s="111">
        <f t="shared" si="3"/>
        <v>18042</v>
      </c>
      <c r="P74" s="111">
        <f t="shared" si="4"/>
        <v>-1255029</v>
      </c>
      <c r="Q74" s="82">
        <v>0</v>
      </c>
    </row>
    <row r="75" spans="1:17">
      <c r="A75" s="97" t="s">
        <v>5057</v>
      </c>
      <c r="B75" s="93">
        <v>4020000</v>
      </c>
      <c r="C75" s="93">
        <v>4120000</v>
      </c>
      <c r="D75" s="93">
        <v>11350</v>
      </c>
      <c r="E75" s="93">
        <v>11500</v>
      </c>
      <c r="I75" s="205"/>
      <c r="J75" s="111">
        <f t="shared" si="1"/>
        <v>112274</v>
      </c>
      <c r="K75" s="205" t="s">
        <v>4699</v>
      </c>
      <c r="L75" s="82">
        <v>619428813</v>
      </c>
      <c r="M75" s="82">
        <v>242060147</v>
      </c>
      <c r="N75" s="111">
        <f t="shared" si="2"/>
        <v>861488960</v>
      </c>
      <c r="O75" s="111">
        <f t="shared" si="3"/>
        <v>-925579</v>
      </c>
      <c r="P75" s="111">
        <f t="shared" si="4"/>
        <v>-813305</v>
      </c>
      <c r="Q75" s="82">
        <v>0</v>
      </c>
    </row>
    <row r="76" spans="1:17">
      <c r="A76" s="97" t="s">
        <v>5060</v>
      </c>
      <c r="B76" s="93">
        <v>4000000</v>
      </c>
      <c r="C76" s="93">
        <v>4100000</v>
      </c>
      <c r="D76" s="93">
        <v>11250</v>
      </c>
      <c r="E76" s="93">
        <v>11400</v>
      </c>
      <c r="G76" t="s">
        <v>25</v>
      </c>
      <c r="I76" s="205"/>
      <c r="J76" s="111">
        <f t="shared" si="1"/>
        <v>6567221</v>
      </c>
      <c r="K76" s="205" t="s">
        <v>4701</v>
      </c>
      <c r="L76" s="82">
        <v>625996034</v>
      </c>
      <c r="M76" s="82">
        <v>242597875</v>
      </c>
      <c r="N76" s="111">
        <f t="shared" si="2"/>
        <v>868593909</v>
      </c>
      <c r="O76" s="111">
        <f t="shared" si="3"/>
        <v>537728</v>
      </c>
      <c r="P76" s="111">
        <f t="shared" si="4"/>
        <v>7104949</v>
      </c>
      <c r="Q76" s="82">
        <v>0</v>
      </c>
    </row>
    <row r="77" spans="1:17">
      <c r="A77" s="97" t="s">
        <v>5100</v>
      </c>
      <c r="B77" s="93">
        <v>3930000</v>
      </c>
      <c r="C77" s="93">
        <v>4030000</v>
      </c>
      <c r="D77" s="93">
        <v>11300</v>
      </c>
      <c r="E77" s="93">
        <v>11500</v>
      </c>
      <c r="I77" s="205"/>
      <c r="J77" s="111">
        <f t="shared" si="1"/>
        <v>4477051</v>
      </c>
      <c r="K77" s="205"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5"/>
      <c r="J78" s="111">
        <f t="shared" si="1"/>
        <v>6046556</v>
      </c>
      <c r="K78" s="205" t="s">
        <v>4720</v>
      </c>
      <c r="L78" s="82">
        <v>636519641</v>
      </c>
      <c r="M78" s="82">
        <v>248242879</v>
      </c>
      <c r="N78" s="111">
        <f t="shared" si="2"/>
        <v>884762520</v>
      </c>
      <c r="O78" s="111">
        <f t="shared" si="3"/>
        <v>4357917</v>
      </c>
      <c r="P78" s="111">
        <f t="shared" si="4"/>
        <v>10404473</v>
      </c>
      <c r="Q78" s="82">
        <v>0</v>
      </c>
    </row>
    <row r="79" spans="1:17">
      <c r="A79" s="97" t="s">
        <v>5108</v>
      </c>
      <c r="B79" s="93">
        <v>3940000</v>
      </c>
      <c r="C79" s="93">
        <v>4020000</v>
      </c>
      <c r="D79" s="93">
        <v>11250</v>
      </c>
      <c r="E79" s="93">
        <v>11450</v>
      </c>
      <c r="I79" s="205"/>
      <c r="J79" s="111">
        <f t="shared" si="1"/>
        <v>6885870</v>
      </c>
      <c r="K79" s="205" t="s">
        <v>4722</v>
      </c>
      <c r="L79" s="82">
        <v>643405511</v>
      </c>
      <c r="M79" s="82">
        <v>252682386</v>
      </c>
      <c r="N79" s="111">
        <f t="shared" si="2"/>
        <v>896087897</v>
      </c>
      <c r="O79" s="111">
        <f t="shared" si="3"/>
        <v>4439507</v>
      </c>
      <c r="P79" s="111">
        <f t="shared" si="4"/>
        <v>11325377</v>
      </c>
      <c r="Q79" s="82">
        <v>0</v>
      </c>
    </row>
    <row r="80" spans="1:17">
      <c r="A80" s="97" t="s">
        <v>5111</v>
      </c>
      <c r="B80" s="93">
        <v>3940000</v>
      </c>
      <c r="C80" s="93">
        <v>4020000</v>
      </c>
      <c r="D80" s="93">
        <v>11250</v>
      </c>
      <c r="E80" s="93">
        <v>11450</v>
      </c>
      <c r="G80" t="s">
        <v>25</v>
      </c>
      <c r="I80" s="5" t="s">
        <v>4737</v>
      </c>
      <c r="J80" s="35">
        <f t="shared" si="1"/>
        <v>-1984018</v>
      </c>
      <c r="K80" s="5" t="s">
        <v>4724</v>
      </c>
      <c r="L80" s="217">
        <v>641421493</v>
      </c>
      <c r="M80" s="217">
        <v>250864833</v>
      </c>
      <c r="N80" s="35">
        <f t="shared" si="2"/>
        <v>892286326</v>
      </c>
      <c r="O80" s="35">
        <f t="shared" si="3"/>
        <v>-1817553</v>
      </c>
      <c r="P80" s="35">
        <f>N80-N79-2000000</f>
        <v>-5801571</v>
      </c>
      <c r="Q80" s="82">
        <v>2000000</v>
      </c>
    </row>
    <row r="81" spans="1:21">
      <c r="A81" s="97" t="s">
        <v>5112</v>
      </c>
      <c r="B81" s="93">
        <v>3940000</v>
      </c>
      <c r="C81" s="93">
        <v>4020000</v>
      </c>
      <c r="D81" s="93">
        <v>11300</v>
      </c>
      <c r="E81" s="93">
        <v>11450</v>
      </c>
      <c r="I81" s="205"/>
      <c r="J81" s="111">
        <f t="shared" si="1"/>
        <v>6117877</v>
      </c>
      <c r="K81" s="205" t="s">
        <v>4727</v>
      </c>
      <c r="L81" s="82">
        <v>647539370</v>
      </c>
      <c r="M81" s="82">
        <v>254691103</v>
      </c>
      <c r="N81" s="210">
        <f t="shared" si="2"/>
        <v>902230473</v>
      </c>
      <c r="O81" s="111">
        <f t="shared" si="3"/>
        <v>3826270</v>
      </c>
      <c r="P81" s="111">
        <f t="shared" si="4"/>
        <v>9944147</v>
      </c>
      <c r="Q81" s="82">
        <v>0</v>
      </c>
    </row>
    <row r="82" spans="1:21">
      <c r="A82" s="97" t="s">
        <v>5115</v>
      </c>
      <c r="B82" s="93">
        <v>3970000</v>
      </c>
      <c r="C82" s="93">
        <v>4030000</v>
      </c>
      <c r="D82" s="93">
        <v>11300</v>
      </c>
      <c r="E82" s="93">
        <v>11500</v>
      </c>
      <c r="I82" s="219" t="s">
        <v>4736</v>
      </c>
      <c r="J82" s="84">
        <f t="shared" si="1"/>
        <v>8860702</v>
      </c>
      <c r="K82" s="189" t="s">
        <v>4733</v>
      </c>
      <c r="L82" s="218">
        <v>656400072</v>
      </c>
      <c r="M82" s="218">
        <v>260846052</v>
      </c>
      <c r="N82" s="210">
        <f t="shared" si="2"/>
        <v>917246124</v>
      </c>
      <c r="O82" s="84">
        <f t="shared" si="3"/>
        <v>6154949</v>
      </c>
      <c r="P82" s="84">
        <f>N82-N81-4250000</f>
        <v>10765651</v>
      </c>
      <c r="Q82" s="82">
        <v>4250000</v>
      </c>
    </row>
    <row r="83" spans="1:21" ht="30">
      <c r="A83" s="97" t="s">
        <v>975</v>
      </c>
      <c r="B83" s="93">
        <v>3920000</v>
      </c>
      <c r="C83" s="93">
        <v>3990000</v>
      </c>
      <c r="D83" s="93">
        <v>11200</v>
      </c>
      <c r="E83" s="93">
        <v>11350</v>
      </c>
      <c r="I83" s="219" t="s">
        <v>4745</v>
      </c>
      <c r="J83" s="84">
        <f>L83-L82+31412200</f>
        <v>20439704</v>
      </c>
      <c r="K83" s="189" t="s">
        <v>4738</v>
      </c>
      <c r="L83" s="218">
        <v>645427576</v>
      </c>
      <c r="M83" s="218">
        <v>263837297</v>
      </c>
      <c r="N83" s="210">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4746</v>
      </c>
      <c r="J84" s="186">
        <f t="shared" si="1"/>
        <v>21224293</v>
      </c>
      <c r="K84" s="187" t="s">
        <v>4747</v>
      </c>
      <c r="L84" s="220">
        <v>666651869</v>
      </c>
      <c r="M84" s="220">
        <v>303563891</v>
      </c>
      <c r="N84" s="210">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5"/>
      <c r="J85" s="111">
        <f t="shared" si="1"/>
        <v>9478107</v>
      </c>
      <c r="K85" s="205" t="s">
        <v>964</v>
      </c>
      <c r="L85" s="82">
        <v>676129976</v>
      </c>
      <c r="M85" s="82">
        <v>302822379</v>
      </c>
      <c r="N85" s="210">
        <f t="shared" si="2"/>
        <v>978952355</v>
      </c>
      <c r="O85" s="111">
        <f t="shared" si="3"/>
        <v>-741512</v>
      </c>
      <c r="P85" s="111">
        <f t="shared" si="4"/>
        <v>8736595</v>
      </c>
      <c r="Q85" s="82">
        <v>0</v>
      </c>
    </row>
    <row r="86" spans="1:21">
      <c r="A86" s="97"/>
      <c r="B86" s="93"/>
      <c r="C86" s="93"/>
      <c r="D86" s="93"/>
      <c r="E86" s="93"/>
      <c r="I86" s="205"/>
      <c r="J86" s="111">
        <f t="shared" si="1"/>
        <v>-8249999</v>
      </c>
      <c r="K86" s="205" t="s">
        <v>4752</v>
      </c>
      <c r="L86" s="82">
        <v>667879977</v>
      </c>
      <c r="M86" s="82">
        <v>298414541</v>
      </c>
      <c r="N86" s="111">
        <f t="shared" si="2"/>
        <v>966294518</v>
      </c>
      <c r="O86" s="111">
        <f t="shared" si="3"/>
        <v>-4407838</v>
      </c>
      <c r="P86" s="111">
        <f t="shared" si="4"/>
        <v>-12657837</v>
      </c>
      <c r="Q86" s="82">
        <v>0</v>
      </c>
    </row>
    <row r="87" spans="1:21">
      <c r="A87" s="97"/>
      <c r="B87" s="93"/>
      <c r="C87" s="93"/>
      <c r="D87" s="93"/>
      <c r="E87" s="93"/>
      <c r="I87" s="221" t="s">
        <v>4763</v>
      </c>
      <c r="J87" s="192">
        <f>L87-L86-20000</f>
        <v>7878257</v>
      </c>
      <c r="K87" s="188" t="s">
        <v>4753</v>
      </c>
      <c r="L87" s="222">
        <v>675778234</v>
      </c>
      <c r="M87" s="222">
        <v>302388050</v>
      </c>
      <c r="N87" s="192">
        <f>L87+M87</f>
        <v>978166284</v>
      </c>
      <c r="O87" s="192">
        <f>M87-M86-850000</f>
        <v>3123509</v>
      </c>
      <c r="P87" s="192">
        <f>N87-N86-870000</f>
        <v>11001766</v>
      </c>
      <c r="Q87" s="82">
        <v>870000</v>
      </c>
    </row>
    <row r="88" spans="1:21">
      <c r="A88" s="97"/>
      <c r="B88" s="93"/>
      <c r="C88" s="93"/>
      <c r="D88" s="93"/>
      <c r="E88" s="93"/>
      <c r="I88" s="205" t="s">
        <v>25</v>
      </c>
      <c r="J88" s="111">
        <f t="shared" si="1"/>
        <v>17031996</v>
      </c>
      <c r="K88" s="205" t="s">
        <v>4765</v>
      </c>
      <c r="L88" s="82">
        <v>692810230</v>
      </c>
      <c r="M88" s="82">
        <v>311823171</v>
      </c>
      <c r="N88" s="210">
        <f t="shared" si="2"/>
        <v>1004633401</v>
      </c>
      <c r="O88" s="111">
        <f t="shared" si="3"/>
        <v>9435121</v>
      </c>
      <c r="P88" s="111">
        <f t="shared" si="4"/>
        <v>26467117</v>
      </c>
      <c r="Q88" s="82">
        <v>0</v>
      </c>
    </row>
    <row r="89" spans="1:21">
      <c r="A89" s="97"/>
      <c r="B89" s="93"/>
      <c r="C89" s="93"/>
      <c r="D89" s="93"/>
      <c r="E89" s="93"/>
      <c r="I89" s="205"/>
      <c r="J89" s="111">
        <f>L89-L88</f>
        <v>-12175091</v>
      </c>
      <c r="K89" s="205" t="s">
        <v>4766</v>
      </c>
      <c r="L89" s="82">
        <v>680635139</v>
      </c>
      <c r="M89" s="82">
        <v>313005875</v>
      </c>
      <c r="N89" s="111">
        <f t="shared" si="2"/>
        <v>993641014</v>
      </c>
      <c r="O89" s="111">
        <f>M89-M88</f>
        <v>1182704</v>
      </c>
      <c r="P89" s="111">
        <f>N89-N88</f>
        <v>-10992387</v>
      </c>
      <c r="Q89" s="82">
        <v>0</v>
      </c>
    </row>
    <row r="90" spans="1:21">
      <c r="A90" s="97"/>
      <c r="B90" s="93"/>
      <c r="C90" s="93"/>
      <c r="D90" s="93"/>
      <c r="E90" s="93"/>
      <c r="I90" s="188" t="s">
        <v>4790</v>
      </c>
      <c r="J90" s="192">
        <f>L90-L89-1000000</f>
        <v>3840350</v>
      </c>
      <c r="K90" s="188" t="s">
        <v>4773</v>
      </c>
      <c r="L90" s="222">
        <v>685475489</v>
      </c>
      <c r="M90" s="222">
        <v>312030960</v>
      </c>
      <c r="N90" s="192">
        <f t="shared" si="2"/>
        <v>997506449</v>
      </c>
      <c r="O90" s="192">
        <f>M90-M89</f>
        <v>-974915</v>
      </c>
      <c r="P90" s="192">
        <f>N90-N89-1000000</f>
        <v>2865435</v>
      </c>
      <c r="Q90" s="82">
        <v>1000000</v>
      </c>
    </row>
    <row r="91" spans="1:21">
      <c r="I91" s="205"/>
      <c r="J91" s="111">
        <f t="shared" ref="J91:J141" si="5">L91-L90</f>
        <v>-12127865</v>
      </c>
      <c r="K91" s="205" t="s">
        <v>4774</v>
      </c>
      <c r="L91" s="82">
        <v>673347624</v>
      </c>
      <c r="M91" s="82">
        <v>308820785</v>
      </c>
      <c r="N91" s="111">
        <f t="shared" si="2"/>
        <v>982168409</v>
      </c>
      <c r="O91" s="111">
        <f>M91-M90</f>
        <v>-3210175</v>
      </c>
      <c r="P91" s="111">
        <f>N91-N90</f>
        <v>-15338040</v>
      </c>
      <c r="Q91" s="82">
        <v>0</v>
      </c>
    </row>
    <row r="92" spans="1:21">
      <c r="I92" s="205"/>
      <c r="J92" s="111">
        <f t="shared" si="5"/>
        <v>11765514</v>
      </c>
      <c r="K92" s="205" t="s">
        <v>4781</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5"/>
      <c r="J93" s="111">
        <f t="shared" si="5"/>
        <v>2886862</v>
      </c>
      <c r="K93" s="205" t="s">
        <v>4782</v>
      </c>
      <c r="L93" s="82">
        <v>688000000</v>
      </c>
      <c r="M93" s="82">
        <v>312500000</v>
      </c>
      <c r="N93" s="111">
        <f t="shared" si="6"/>
        <v>1000500000</v>
      </c>
      <c r="O93" s="111">
        <f t="shared" si="7"/>
        <v>756067</v>
      </c>
      <c r="P93" s="111">
        <f t="shared" si="8"/>
        <v>3642929</v>
      </c>
      <c r="Q93" s="82">
        <v>0</v>
      </c>
    </row>
    <row r="94" spans="1:21">
      <c r="B94" t="s">
        <v>25</v>
      </c>
      <c r="I94" s="205"/>
      <c r="J94" s="111">
        <f t="shared" si="5"/>
        <v>10450869</v>
      </c>
      <c r="K94" s="205" t="s">
        <v>4783</v>
      </c>
      <c r="L94" s="82">
        <v>698450869</v>
      </c>
      <c r="M94" s="82">
        <v>316326929</v>
      </c>
      <c r="N94" s="210">
        <f t="shared" si="6"/>
        <v>1014777798</v>
      </c>
      <c r="O94" s="111">
        <f t="shared" si="7"/>
        <v>3826929</v>
      </c>
      <c r="P94" s="111">
        <f t="shared" si="8"/>
        <v>14277798</v>
      </c>
      <c r="Q94" s="82">
        <v>0</v>
      </c>
    </row>
    <row r="95" spans="1:21">
      <c r="I95" s="188" t="s">
        <v>4789</v>
      </c>
      <c r="J95" s="192">
        <f>L95-L94-2520000</f>
        <v>-274657</v>
      </c>
      <c r="K95" s="188" t="s">
        <v>4786</v>
      </c>
      <c r="L95" s="222">
        <v>700696212</v>
      </c>
      <c r="M95" s="222">
        <v>314277518</v>
      </c>
      <c r="N95" s="192">
        <f t="shared" si="6"/>
        <v>1014973730</v>
      </c>
      <c r="O95" s="192">
        <f t="shared" si="7"/>
        <v>-2049411</v>
      </c>
      <c r="P95" s="192">
        <f>N95-N94-2520000</f>
        <v>-2324068</v>
      </c>
      <c r="Q95" s="82">
        <v>2520000</v>
      </c>
      <c r="U95" t="s">
        <v>25</v>
      </c>
    </row>
    <row r="96" spans="1:21">
      <c r="D96" t="s">
        <v>25</v>
      </c>
      <c r="E96" t="s">
        <v>25</v>
      </c>
      <c r="I96" s="205"/>
      <c r="J96" s="111">
        <f t="shared" si="5"/>
        <v>3959605</v>
      </c>
      <c r="K96" s="205" t="s">
        <v>4791</v>
      </c>
      <c r="L96" s="82">
        <v>704655817</v>
      </c>
      <c r="M96" s="82">
        <v>315439070</v>
      </c>
      <c r="N96" s="210">
        <f t="shared" si="6"/>
        <v>1020094887</v>
      </c>
      <c r="O96" s="111">
        <f t="shared" si="7"/>
        <v>1161552</v>
      </c>
      <c r="P96" s="111">
        <f t="shared" si="8"/>
        <v>5121157</v>
      </c>
      <c r="Q96" s="82">
        <v>0</v>
      </c>
    </row>
    <row r="97" spans="3:20">
      <c r="I97" s="205"/>
      <c r="J97" s="111">
        <f t="shared" si="5"/>
        <v>4588822</v>
      </c>
      <c r="K97" s="205" t="s">
        <v>4792</v>
      </c>
      <c r="L97" s="82">
        <v>709244639</v>
      </c>
      <c r="M97" s="82">
        <v>318439707</v>
      </c>
      <c r="N97" s="210">
        <f t="shared" si="6"/>
        <v>1027684346</v>
      </c>
      <c r="O97" s="111">
        <f t="shared" si="7"/>
        <v>3000637</v>
      </c>
      <c r="P97" s="111">
        <f t="shared" si="8"/>
        <v>7589459</v>
      </c>
      <c r="Q97" s="82">
        <v>0</v>
      </c>
    </row>
    <row r="98" spans="3:20">
      <c r="I98" s="205"/>
      <c r="J98" s="111">
        <f t="shared" si="5"/>
        <v>-11230604</v>
      </c>
      <c r="K98" s="205" t="s">
        <v>4794</v>
      </c>
      <c r="L98" s="82">
        <v>698014035</v>
      </c>
      <c r="M98" s="82">
        <v>314823372</v>
      </c>
      <c r="N98" s="111">
        <f t="shared" ref="N98:N110" si="9">L98+M98</f>
        <v>1012837407</v>
      </c>
      <c r="O98" s="111">
        <f t="shared" ref="O98:O109" si="10">M98-M97</f>
        <v>-3616335</v>
      </c>
      <c r="P98" s="111">
        <f t="shared" ref="P98:P109" si="11">N98-N97</f>
        <v>-14846939</v>
      </c>
      <c r="Q98" s="82">
        <v>0</v>
      </c>
    </row>
    <row r="99" spans="3:20">
      <c r="I99" s="205"/>
      <c r="J99" s="111">
        <f t="shared" si="5"/>
        <v>6285999</v>
      </c>
      <c r="K99" s="205" t="s">
        <v>4795</v>
      </c>
      <c r="L99" s="82">
        <v>704300034</v>
      </c>
      <c r="M99" s="82">
        <v>315795916</v>
      </c>
      <c r="N99" s="111">
        <f t="shared" si="9"/>
        <v>1020095950</v>
      </c>
      <c r="O99" s="111">
        <f t="shared" si="10"/>
        <v>972544</v>
      </c>
      <c r="P99" s="111">
        <f t="shared" si="11"/>
        <v>7258543</v>
      </c>
      <c r="Q99" s="82">
        <v>0</v>
      </c>
    </row>
    <row r="100" spans="3:20">
      <c r="C100" t="s">
        <v>25</v>
      </c>
      <c r="I100" s="205"/>
      <c r="J100" s="111">
        <f t="shared" si="5"/>
        <v>17278812</v>
      </c>
      <c r="K100" s="205" t="s">
        <v>4797</v>
      </c>
      <c r="L100" s="82">
        <v>721578846</v>
      </c>
      <c r="M100" s="82">
        <v>322263065</v>
      </c>
      <c r="N100" s="210">
        <f t="shared" si="9"/>
        <v>1043841911</v>
      </c>
      <c r="O100" s="111">
        <f t="shared" si="10"/>
        <v>6467149</v>
      </c>
      <c r="P100" s="111">
        <f t="shared" si="11"/>
        <v>23745961</v>
      </c>
      <c r="Q100" s="82">
        <v>0</v>
      </c>
    </row>
    <row r="101" spans="3:20">
      <c r="I101" s="205"/>
      <c r="J101" s="111">
        <f t="shared" si="5"/>
        <v>287745</v>
      </c>
      <c r="K101" s="205" t="s">
        <v>4798</v>
      </c>
      <c r="L101" s="82">
        <v>721866591</v>
      </c>
      <c r="M101" s="82">
        <v>321203407</v>
      </c>
      <c r="N101" s="111">
        <f t="shared" si="9"/>
        <v>1043069998</v>
      </c>
      <c r="O101" s="111">
        <f t="shared" si="10"/>
        <v>-1059658</v>
      </c>
      <c r="P101" s="111">
        <f t="shared" si="11"/>
        <v>-771913</v>
      </c>
      <c r="Q101" s="82">
        <v>0</v>
      </c>
    </row>
    <row r="102" spans="3:20">
      <c r="I102" s="205"/>
      <c r="J102" s="111">
        <f t="shared" si="5"/>
        <v>-5866591</v>
      </c>
      <c r="K102" s="205" t="s">
        <v>4801</v>
      </c>
      <c r="L102" s="82">
        <v>716000000</v>
      </c>
      <c r="M102" s="82">
        <v>319000000</v>
      </c>
      <c r="N102" s="111">
        <f t="shared" si="9"/>
        <v>1035000000</v>
      </c>
      <c r="O102" s="111">
        <f t="shared" si="10"/>
        <v>-2203407</v>
      </c>
      <c r="P102" s="111">
        <f t="shared" si="11"/>
        <v>-8069998</v>
      </c>
      <c r="Q102" s="82">
        <v>0</v>
      </c>
    </row>
    <row r="103" spans="3:20">
      <c r="I103" s="205"/>
      <c r="J103" s="111">
        <f t="shared" si="5"/>
        <v>288384</v>
      </c>
      <c r="K103" s="205" t="s">
        <v>4800</v>
      </c>
      <c r="L103" s="82">
        <v>716288384</v>
      </c>
      <c r="M103" s="82">
        <v>320388494</v>
      </c>
      <c r="N103" s="111">
        <f t="shared" si="9"/>
        <v>1036676878</v>
      </c>
      <c r="O103" s="111">
        <f t="shared" si="10"/>
        <v>1388494</v>
      </c>
      <c r="P103" s="111">
        <f t="shared" si="11"/>
        <v>1676878</v>
      </c>
      <c r="Q103" s="82">
        <v>0</v>
      </c>
    </row>
    <row r="104" spans="3:20">
      <c r="I104" s="188" t="s">
        <v>4836</v>
      </c>
      <c r="J104" s="192">
        <f>L104-L103-1400000</f>
        <v>-1688384</v>
      </c>
      <c r="K104" s="188" t="s">
        <v>4834</v>
      </c>
      <c r="L104" s="222">
        <v>716000000</v>
      </c>
      <c r="M104" s="222">
        <v>322000000</v>
      </c>
      <c r="N104" s="192">
        <f t="shared" si="9"/>
        <v>1038000000</v>
      </c>
      <c r="O104" s="192">
        <f t="shared" si="10"/>
        <v>1611506</v>
      </c>
      <c r="P104" s="192">
        <f>N104-N103-1400000</f>
        <v>-76878</v>
      </c>
      <c r="Q104" s="82">
        <v>1400000</v>
      </c>
    </row>
    <row r="105" spans="3:20">
      <c r="I105" s="205"/>
      <c r="J105" s="111">
        <f t="shared" si="5"/>
        <v>8529471</v>
      </c>
      <c r="K105" s="205" t="s">
        <v>4835</v>
      </c>
      <c r="L105" s="82">
        <v>724529471</v>
      </c>
      <c r="M105" s="82">
        <v>326836192</v>
      </c>
      <c r="N105" s="210">
        <f t="shared" si="9"/>
        <v>1051365663</v>
      </c>
      <c r="O105" s="111">
        <f t="shared" si="10"/>
        <v>4836192</v>
      </c>
      <c r="P105" s="111">
        <f t="shared" si="11"/>
        <v>13365663</v>
      </c>
      <c r="Q105" s="82">
        <v>0</v>
      </c>
    </row>
    <row r="106" spans="3:20">
      <c r="I106" s="187" t="s">
        <v>4838</v>
      </c>
      <c r="J106" s="186">
        <f>L106-L105-1550000</f>
        <v>16319322</v>
      </c>
      <c r="K106" s="187" t="s">
        <v>4837</v>
      </c>
      <c r="L106" s="220">
        <v>742398793</v>
      </c>
      <c r="M106" s="220">
        <v>333388204</v>
      </c>
      <c r="N106" s="210">
        <f t="shared" si="9"/>
        <v>1075786997</v>
      </c>
      <c r="O106" s="186">
        <f>M106-M105-1550000</f>
        <v>5002012</v>
      </c>
      <c r="P106" s="186">
        <f>N106-N105-3100000</f>
        <v>21321334</v>
      </c>
      <c r="Q106" s="82">
        <v>3100000</v>
      </c>
    </row>
    <row r="107" spans="3:20">
      <c r="I107" s="205"/>
      <c r="J107" s="111">
        <f t="shared" si="5"/>
        <v>7585832</v>
      </c>
      <c r="K107" s="205" t="s">
        <v>4839</v>
      </c>
      <c r="L107" s="82">
        <v>749984625</v>
      </c>
      <c r="M107" s="82">
        <v>336802679</v>
      </c>
      <c r="N107" s="210">
        <f t="shared" si="9"/>
        <v>1086787304</v>
      </c>
      <c r="O107" s="111">
        <f t="shared" si="10"/>
        <v>3414475</v>
      </c>
      <c r="P107" s="111">
        <f t="shared" si="11"/>
        <v>11000307</v>
      </c>
      <c r="Q107" s="82">
        <v>0</v>
      </c>
    </row>
    <row r="108" spans="3:20">
      <c r="I108" s="187" t="s">
        <v>4842</v>
      </c>
      <c r="J108" s="186">
        <f>L108-L107-250000</f>
        <v>9825827</v>
      </c>
      <c r="K108" s="187" t="s">
        <v>4793</v>
      </c>
      <c r="L108" s="220">
        <v>760060452</v>
      </c>
      <c r="M108" s="220">
        <v>342834562</v>
      </c>
      <c r="N108" s="210">
        <f t="shared" si="9"/>
        <v>1102895014</v>
      </c>
      <c r="O108" s="186">
        <f t="shared" si="10"/>
        <v>6031883</v>
      </c>
      <c r="P108" s="186">
        <f>N108-N107-250000</f>
        <v>15857710</v>
      </c>
      <c r="Q108" s="82">
        <v>250000</v>
      </c>
    </row>
    <row r="109" spans="3:20">
      <c r="I109" s="205"/>
      <c r="J109" s="111">
        <f t="shared" si="5"/>
        <v>4204925</v>
      </c>
      <c r="K109" s="205" t="s">
        <v>4843</v>
      </c>
      <c r="L109" s="82">
        <v>764265377</v>
      </c>
      <c r="M109" s="82">
        <v>346850621</v>
      </c>
      <c r="N109" s="210">
        <f t="shared" si="9"/>
        <v>1111115998</v>
      </c>
      <c r="O109" s="111">
        <f t="shared" si="10"/>
        <v>4016059</v>
      </c>
      <c r="P109" s="111">
        <f t="shared" si="11"/>
        <v>8220984</v>
      </c>
      <c r="Q109" s="82">
        <v>0</v>
      </c>
    </row>
    <row r="110" spans="3:20" ht="30">
      <c r="I110" s="226" t="s">
        <v>4849</v>
      </c>
      <c r="J110" s="227">
        <f>L110-L109+48527480</f>
        <v>-4646184</v>
      </c>
      <c r="K110" s="208" t="s">
        <v>4846</v>
      </c>
      <c r="L110" s="228">
        <v>711091713</v>
      </c>
      <c r="M110" s="228">
        <v>365802118</v>
      </c>
      <c r="N110" s="227">
        <f t="shared" si="9"/>
        <v>1076893831</v>
      </c>
      <c r="O110" s="227">
        <f>M110-M109+2668880-50000000</f>
        <v>-28379623</v>
      </c>
      <c r="P110" s="227">
        <f>N110-N109-50000000+48527480+2668880</f>
        <v>-33025807</v>
      </c>
      <c r="Q110" s="82">
        <v>-1196360</v>
      </c>
    </row>
    <row r="111" spans="3:20">
      <c r="I111" s="205"/>
      <c r="J111" s="111">
        <f t="shared" si="5"/>
        <v>12126436</v>
      </c>
      <c r="K111" s="205" t="s">
        <v>4851</v>
      </c>
      <c r="L111" s="82">
        <v>723218149</v>
      </c>
      <c r="M111" s="82">
        <v>378192152</v>
      </c>
      <c r="N111" s="111">
        <f t="shared" ref="N111:N122" si="12">L111+M111</f>
        <v>1101410301</v>
      </c>
      <c r="O111" s="111">
        <f t="shared" ref="O111:O144" si="13">M111-M110</f>
        <v>12390034</v>
      </c>
      <c r="P111" s="111">
        <f>N111-N110</f>
        <v>24516470</v>
      </c>
      <c r="Q111" s="82">
        <v>0</v>
      </c>
    </row>
    <row r="112" spans="3:20">
      <c r="I112" s="187" t="s">
        <v>4856</v>
      </c>
      <c r="J112" s="186">
        <f t="shared" si="5"/>
        <v>-11559770</v>
      </c>
      <c r="K112" s="187" t="s">
        <v>4852</v>
      </c>
      <c r="L112" s="220">
        <v>711658379</v>
      </c>
      <c r="M112" s="220">
        <v>375825031</v>
      </c>
      <c r="N112" s="186">
        <f t="shared" si="12"/>
        <v>1087483410</v>
      </c>
      <c r="O112" s="186">
        <f>M112-M111-400000</f>
        <v>-2767121</v>
      </c>
      <c r="P112" s="186">
        <f>N112-N111-400000</f>
        <v>-14326891</v>
      </c>
      <c r="Q112" s="82">
        <v>400000</v>
      </c>
      <c r="T112" t="s">
        <v>25</v>
      </c>
    </row>
    <row r="113" spans="9:19">
      <c r="I113" s="205" t="s">
        <v>4858</v>
      </c>
      <c r="J113" s="111">
        <f t="shared" si="5"/>
        <v>-47970668</v>
      </c>
      <c r="K113" s="205" t="s">
        <v>4857</v>
      </c>
      <c r="L113" s="82">
        <v>663687711</v>
      </c>
      <c r="M113" s="82">
        <v>375638602</v>
      </c>
      <c r="N113" s="111">
        <f t="shared" si="12"/>
        <v>1039326313</v>
      </c>
      <c r="O113" s="111">
        <f t="shared" si="13"/>
        <v>-186429</v>
      </c>
      <c r="P113" s="111">
        <f>N113-N112</f>
        <v>-48157097</v>
      </c>
      <c r="Q113" s="82">
        <v>0</v>
      </c>
      <c r="S113" t="s">
        <v>25</v>
      </c>
    </row>
    <row r="114" spans="9:19">
      <c r="I114" s="205"/>
      <c r="J114" s="111">
        <f t="shared" si="5"/>
        <v>9507166</v>
      </c>
      <c r="K114" s="205" t="s">
        <v>4859</v>
      </c>
      <c r="L114" s="82">
        <v>673194877</v>
      </c>
      <c r="M114" s="82">
        <v>380477962</v>
      </c>
      <c r="N114" s="111">
        <f t="shared" si="12"/>
        <v>1053672839</v>
      </c>
      <c r="O114" s="111">
        <f t="shared" si="13"/>
        <v>4839360</v>
      </c>
      <c r="P114" s="111">
        <f>N114-N113</f>
        <v>14346526</v>
      </c>
      <c r="Q114" s="82">
        <v>0</v>
      </c>
    </row>
    <row r="115" spans="9:19">
      <c r="I115" s="205"/>
      <c r="J115" s="111">
        <f t="shared" si="5"/>
        <v>351502</v>
      </c>
      <c r="K115" s="205" t="s">
        <v>4860</v>
      </c>
      <c r="L115" s="82">
        <v>673546379</v>
      </c>
      <c r="M115" s="82">
        <v>385390359</v>
      </c>
      <c r="N115" s="111">
        <f t="shared" si="12"/>
        <v>1058936738</v>
      </c>
      <c r="O115" s="111">
        <f t="shared" si="13"/>
        <v>4912397</v>
      </c>
      <c r="P115" s="111">
        <f>N115-N114</f>
        <v>5263899</v>
      </c>
      <c r="Q115" s="82">
        <v>0</v>
      </c>
    </row>
    <row r="116" spans="9:19">
      <c r="I116" s="187" t="s">
        <v>4863</v>
      </c>
      <c r="J116" s="186">
        <f t="shared" si="5"/>
        <v>-3653734</v>
      </c>
      <c r="K116" s="187" t="s">
        <v>4861</v>
      </c>
      <c r="L116" s="220">
        <v>669892645</v>
      </c>
      <c r="M116" s="220">
        <v>383350206</v>
      </c>
      <c r="N116" s="186">
        <f>L116+M116</f>
        <v>1053242851</v>
      </c>
      <c r="O116" s="186">
        <f>M116-M115-2000000</f>
        <v>-4040153</v>
      </c>
      <c r="P116" s="186">
        <f>N116-N115-2000000</f>
        <v>-7693887</v>
      </c>
      <c r="Q116" s="82">
        <v>2000000</v>
      </c>
    </row>
    <row r="117" spans="9:19">
      <c r="I117" s="187" t="s">
        <v>4865</v>
      </c>
      <c r="J117" s="186">
        <f t="shared" si="5"/>
        <v>-492645</v>
      </c>
      <c r="K117" s="187" t="s">
        <v>4864</v>
      </c>
      <c r="L117" s="220">
        <v>669400000</v>
      </c>
      <c r="M117" s="220">
        <v>385000000</v>
      </c>
      <c r="N117" s="186">
        <f t="shared" si="12"/>
        <v>1054400000</v>
      </c>
      <c r="O117" s="186">
        <f>M117-M116-100000</f>
        <v>1549794</v>
      </c>
      <c r="P117" s="186">
        <f>N117-N116-100000</f>
        <v>1057149</v>
      </c>
      <c r="Q117" s="82">
        <v>100000</v>
      </c>
    </row>
    <row r="118" spans="9:19">
      <c r="I118" s="205"/>
      <c r="J118" s="111">
        <f t="shared" si="5"/>
        <v>7765061</v>
      </c>
      <c r="K118" s="205" t="s">
        <v>4866</v>
      </c>
      <c r="L118" s="82">
        <v>677165061</v>
      </c>
      <c r="M118" s="82">
        <v>392704452</v>
      </c>
      <c r="N118" s="111">
        <f t="shared" si="12"/>
        <v>1069869513</v>
      </c>
      <c r="O118" s="111">
        <f t="shared" si="13"/>
        <v>7704452</v>
      </c>
      <c r="P118" s="111">
        <f>N118-N117</f>
        <v>15469513</v>
      </c>
      <c r="Q118" s="82">
        <v>0</v>
      </c>
    </row>
    <row r="119" spans="9:19">
      <c r="I119" s="205"/>
      <c r="J119" s="111">
        <f t="shared" si="5"/>
        <v>7834939</v>
      </c>
      <c r="K119" s="205" t="s">
        <v>4867</v>
      </c>
      <c r="L119" s="82">
        <v>685000000</v>
      </c>
      <c r="M119" s="82">
        <v>395000000</v>
      </c>
      <c r="N119" s="111">
        <f t="shared" si="12"/>
        <v>1080000000</v>
      </c>
      <c r="O119" s="111">
        <f t="shared" si="13"/>
        <v>2295548</v>
      </c>
      <c r="P119" s="111">
        <f>N119-N118</f>
        <v>10130487</v>
      </c>
      <c r="Q119" s="82">
        <v>0</v>
      </c>
    </row>
    <row r="120" spans="9:19">
      <c r="I120" s="187" t="s">
        <v>4869</v>
      </c>
      <c r="J120" s="186">
        <f>L120-L119-2100000</f>
        <v>2603523</v>
      </c>
      <c r="K120" s="187" t="s">
        <v>4868</v>
      </c>
      <c r="L120" s="220">
        <v>689703523</v>
      </c>
      <c r="M120" s="220">
        <v>399879880</v>
      </c>
      <c r="N120" s="186">
        <f t="shared" si="12"/>
        <v>1089583403</v>
      </c>
      <c r="O120" s="186">
        <f t="shared" si="13"/>
        <v>4879880</v>
      </c>
      <c r="P120" s="186">
        <f>N120-N119-2100000</f>
        <v>7483403</v>
      </c>
      <c r="Q120" s="82">
        <v>2100000</v>
      </c>
    </row>
    <row r="121" spans="9:19">
      <c r="I121" s="187" t="s">
        <v>4872</v>
      </c>
      <c r="J121" s="186">
        <f>L121-L120-100000</f>
        <v>1223636</v>
      </c>
      <c r="K121" s="187" t="s">
        <v>4871</v>
      </c>
      <c r="L121" s="220">
        <v>691027159</v>
      </c>
      <c r="M121" s="220">
        <v>401920713</v>
      </c>
      <c r="N121" s="186">
        <f t="shared" si="12"/>
        <v>1092947872</v>
      </c>
      <c r="O121" s="186">
        <f>M121-M120-100000</f>
        <v>1940833</v>
      </c>
      <c r="P121" s="186">
        <f>N121-N120-200000</f>
        <v>3164469</v>
      </c>
      <c r="Q121" s="82">
        <v>200000</v>
      </c>
    </row>
    <row r="122" spans="9:19">
      <c r="I122" s="205"/>
      <c r="J122" s="111">
        <f t="shared" si="5"/>
        <v>-3258218</v>
      </c>
      <c r="K122" s="205" t="s">
        <v>4874</v>
      </c>
      <c r="L122" s="82">
        <v>687768941</v>
      </c>
      <c r="M122" s="82">
        <v>400952125</v>
      </c>
      <c r="N122" s="111">
        <f t="shared" si="12"/>
        <v>1088721066</v>
      </c>
      <c r="O122" s="111">
        <f t="shared" si="13"/>
        <v>-968588</v>
      </c>
      <c r="P122" s="111">
        <f>N122-N121</f>
        <v>-4226806</v>
      </c>
      <c r="Q122" s="216">
        <v>0</v>
      </c>
    </row>
    <row r="123" spans="9:19">
      <c r="I123" s="187" t="s">
        <v>4880</v>
      </c>
      <c r="J123" s="186">
        <f>L123-L122-115000</f>
        <v>-1004989</v>
      </c>
      <c r="K123" s="187" t="s">
        <v>4876</v>
      </c>
      <c r="L123" s="220">
        <v>686878952</v>
      </c>
      <c r="M123" s="220">
        <v>402566982</v>
      </c>
      <c r="N123" s="186">
        <f>L123+M123</f>
        <v>1089445934</v>
      </c>
      <c r="O123" s="186">
        <f>M123-M122-115000</f>
        <v>1499857</v>
      </c>
      <c r="P123" s="186">
        <f>N123-N122-230000</f>
        <v>494868</v>
      </c>
      <c r="Q123" s="216">
        <v>230000</v>
      </c>
    </row>
    <row r="124" spans="9:19">
      <c r="I124" s="187" t="s">
        <v>4883</v>
      </c>
      <c r="J124" s="186">
        <f>L124-L123-900000</f>
        <v>16455514</v>
      </c>
      <c r="K124" s="187" t="s">
        <v>4882</v>
      </c>
      <c r="L124" s="220">
        <v>704234466</v>
      </c>
      <c r="M124" s="220">
        <v>413359717</v>
      </c>
      <c r="N124" s="210">
        <f t="shared" ref="N124:N145" si="14">L124+M124</f>
        <v>1117594183</v>
      </c>
      <c r="O124" s="186">
        <f t="shared" si="13"/>
        <v>10792735</v>
      </c>
      <c r="P124" s="186">
        <f>N124-N123-900000</f>
        <v>27248249</v>
      </c>
      <c r="Q124" s="216">
        <v>900000</v>
      </c>
    </row>
    <row r="125" spans="9:19">
      <c r="I125" s="187" t="s">
        <v>4885</v>
      </c>
      <c r="J125" s="186">
        <f>L125-L124-241774</f>
        <v>7847987</v>
      </c>
      <c r="K125" s="187" t="s">
        <v>4884</v>
      </c>
      <c r="L125" s="220">
        <v>712324227</v>
      </c>
      <c r="M125" s="220">
        <v>416450606</v>
      </c>
      <c r="N125" s="210">
        <f>L125+M125</f>
        <v>1128774833</v>
      </c>
      <c r="O125" s="186">
        <f>M125-M124-50000</f>
        <v>3040889</v>
      </c>
      <c r="P125" s="186">
        <f>N125-N124-291774</f>
        <v>10888876</v>
      </c>
      <c r="Q125" s="216">
        <v>291774</v>
      </c>
    </row>
    <row r="126" spans="9:19">
      <c r="I126" s="187" t="s">
        <v>4893</v>
      </c>
      <c r="J126" s="186">
        <f>L126-L125-5701774</f>
        <v>-18426154</v>
      </c>
      <c r="K126" s="187" t="s">
        <v>4892</v>
      </c>
      <c r="L126" s="220">
        <v>699599847</v>
      </c>
      <c r="M126" s="220">
        <v>407446033</v>
      </c>
      <c r="N126" s="186">
        <f t="shared" si="14"/>
        <v>1107045880</v>
      </c>
      <c r="O126" s="186">
        <f>M126-M125-50000</f>
        <v>-9054573</v>
      </c>
      <c r="P126" s="186">
        <f>N126-N125-5751774</f>
        <v>-27480727</v>
      </c>
      <c r="Q126" s="216">
        <v>5751774</v>
      </c>
    </row>
    <row r="127" spans="9:19">
      <c r="I127" s="229" t="s">
        <v>4898</v>
      </c>
      <c r="J127" s="230">
        <f t="shared" si="5"/>
        <v>9831878</v>
      </c>
      <c r="K127" s="229" t="s">
        <v>4894</v>
      </c>
      <c r="L127" s="231">
        <v>709431725</v>
      </c>
      <c r="M127" s="231">
        <v>415572724</v>
      </c>
      <c r="N127" s="230">
        <f t="shared" si="14"/>
        <v>1125004449</v>
      </c>
      <c r="O127" s="230">
        <f>M127-M126-25000</f>
        <v>8101691</v>
      </c>
      <c r="P127" s="230">
        <f>N127-N126-25000</f>
        <v>17933569</v>
      </c>
      <c r="Q127" s="216">
        <v>25000</v>
      </c>
    </row>
    <row r="128" spans="9:19">
      <c r="I128" s="97"/>
      <c r="J128" s="111">
        <f t="shared" si="5"/>
        <v>3212707</v>
      </c>
      <c r="K128" s="205" t="s">
        <v>4899</v>
      </c>
      <c r="L128" s="82">
        <v>712644432</v>
      </c>
      <c r="M128" s="82">
        <v>416860968</v>
      </c>
      <c r="N128" s="111">
        <f t="shared" si="14"/>
        <v>1129505400</v>
      </c>
      <c r="O128" s="111">
        <f t="shared" si="13"/>
        <v>1288244</v>
      </c>
      <c r="P128" s="111">
        <f>N128-N127</f>
        <v>4500951</v>
      </c>
      <c r="Q128" s="216">
        <v>0</v>
      </c>
    </row>
    <row r="129" spans="9:30">
      <c r="I129" s="19"/>
      <c r="J129" s="115">
        <f t="shared" si="5"/>
        <v>3661985</v>
      </c>
      <c r="K129" s="19" t="s">
        <v>4900</v>
      </c>
      <c r="L129" s="233">
        <v>716306417</v>
      </c>
      <c r="M129" s="233">
        <v>419768145</v>
      </c>
      <c r="N129" s="210">
        <f>L129+M129</f>
        <v>1136074562</v>
      </c>
      <c r="O129" s="115">
        <f>M129-M128</f>
        <v>2907177</v>
      </c>
      <c r="P129" s="115">
        <f>N129-N128</f>
        <v>6569162</v>
      </c>
      <c r="Q129" s="216">
        <v>0</v>
      </c>
    </row>
    <row r="130" spans="9:30">
      <c r="I130" s="187" t="s">
        <v>4904</v>
      </c>
      <c r="J130" s="186">
        <f t="shared" si="5"/>
        <v>-9284823</v>
      </c>
      <c r="K130" s="187" t="s">
        <v>4902</v>
      </c>
      <c r="L130" s="220">
        <v>707021594</v>
      </c>
      <c r="M130" s="220">
        <v>420305454</v>
      </c>
      <c r="N130" s="186">
        <f t="shared" si="14"/>
        <v>1127327048</v>
      </c>
      <c r="O130" s="186">
        <f>M130-M129-6800000</f>
        <v>-6262691</v>
      </c>
      <c r="P130" s="186">
        <f>N130-N129-6800000</f>
        <v>-15547514</v>
      </c>
      <c r="Q130" s="216">
        <v>6800000</v>
      </c>
      <c r="S130" t="s">
        <v>25</v>
      </c>
    </row>
    <row r="131" spans="9:30">
      <c r="I131" s="187" t="s">
        <v>4908</v>
      </c>
      <c r="J131" s="186">
        <f t="shared" si="5"/>
        <v>2112595</v>
      </c>
      <c r="K131" s="187" t="s">
        <v>4905</v>
      </c>
      <c r="L131" s="220">
        <v>709134189</v>
      </c>
      <c r="M131" s="220">
        <v>421097153</v>
      </c>
      <c r="N131" s="186">
        <f t="shared" si="14"/>
        <v>1130231342</v>
      </c>
      <c r="O131" s="186">
        <f>M131-M130-500000</f>
        <v>291699</v>
      </c>
      <c r="P131" s="186">
        <f>N131-N130-500000</f>
        <v>2404294</v>
      </c>
      <c r="Q131" s="216">
        <v>500000</v>
      </c>
      <c r="S131" t="s">
        <v>25</v>
      </c>
    </row>
    <row r="132" spans="9:30">
      <c r="I132" s="229" t="s">
        <v>4911</v>
      </c>
      <c r="J132" s="230">
        <f t="shared" si="5"/>
        <v>1064287</v>
      </c>
      <c r="K132" s="229" t="s">
        <v>4909</v>
      </c>
      <c r="L132" s="231">
        <v>710198476</v>
      </c>
      <c r="M132" s="231">
        <v>422434338</v>
      </c>
      <c r="N132" s="230">
        <f t="shared" si="14"/>
        <v>1132632814</v>
      </c>
      <c r="O132" s="230">
        <f>M132-M131-850000</f>
        <v>487185</v>
      </c>
      <c r="P132" s="230">
        <f>N132-N131-850000</f>
        <v>1551472</v>
      </c>
      <c r="Q132" s="216">
        <v>850000</v>
      </c>
    </row>
    <row r="133" spans="9:30">
      <c r="I133" s="205"/>
      <c r="J133" s="111">
        <f t="shared" si="5"/>
        <v>12623812</v>
      </c>
      <c r="K133" s="205" t="s">
        <v>4914</v>
      </c>
      <c r="L133" s="82">
        <v>722822288</v>
      </c>
      <c r="M133" s="82">
        <v>429606125</v>
      </c>
      <c r="N133" s="210">
        <f t="shared" si="14"/>
        <v>1152428413</v>
      </c>
      <c r="O133" s="111">
        <f t="shared" si="13"/>
        <v>7171787</v>
      </c>
      <c r="P133" s="111">
        <f>N133-N132</f>
        <v>19795599</v>
      </c>
      <c r="Q133" s="216">
        <v>0</v>
      </c>
    </row>
    <row r="134" spans="9:30">
      <c r="I134" s="205"/>
      <c r="J134" s="111">
        <f t="shared" si="5"/>
        <v>21458282</v>
      </c>
      <c r="K134" s="205" t="s">
        <v>4915</v>
      </c>
      <c r="L134" s="82">
        <v>744280570</v>
      </c>
      <c r="M134" s="82">
        <v>440002399</v>
      </c>
      <c r="N134" s="210">
        <f t="shared" si="14"/>
        <v>1184282969</v>
      </c>
      <c r="O134" s="111">
        <f t="shared" si="13"/>
        <v>10396274</v>
      </c>
      <c r="P134" s="111">
        <f>N134-N133</f>
        <v>31854556</v>
      </c>
      <c r="Q134" s="216">
        <v>0</v>
      </c>
    </row>
    <row r="135" spans="9:30">
      <c r="I135" s="187" t="s">
        <v>4929</v>
      </c>
      <c r="J135" s="186">
        <f>L135-L134-1130250</f>
        <v>-410820</v>
      </c>
      <c r="K135" s="187" t="s">
        <v>4917</v>
      </c>
      <c r="L135" s="220">
        <v>745000000</v>
      </c>
      <c r="M135" s="220">
        <v>437000000</v>
      </c>
      <c r="N135" s="186">
        <f t="shared" si="14"/>
        <v>1182000000</v>
      </c>
      <c r="O135" s="186">
        <f>M135-M134-1130250</f>
        <v>-4132649</v>
      </c>
      <c r="P135" s="186">
        <f>N135-N134-2260500</f>
        <v>-4543469</v>
      </c>
      <c r="Q135" s="216">
        <v>2260500</v>
      </c>
    </row>
    <row r="136" spans="9:30">
      <c r="I136" s="205"/>
      <c r="J136" s="111">
        <f t="shared" si="5"/>
        <v>-6610338</v>
      </c>
      <c r="K136" s="205" t="s">
        <v>4920</v>
      </c>
      <c r="L136" s="82">
        <v>738389662</v>
      </c>
      <c r="M136" s="82">
        <v>433994737</v>
      </c>
      <c r="N136" s="111">
        <f t="shared" si="14"/>
        <v>1172384399</v>
      </c>
      <c r="O136" s="111">
        <f t="shared" si="13"/>
        <v>-3005263</v>
      </c>
      <c r="P136" s="111">
        <f>N136-N135</f>
        <v>-9615601</v>
      </c>
      <c r="Q136" s="216">
        <v>0</v>
      </c>
    </row>
    <row r="137" spans="9:30">
      <c r="I137" s="205"/>
      <c r="J137" s="111">
        <f t="shared" si="5"/>
        <v>-6184317</v>
      </c>
      <c r="K137" s="205" t="s">
        <v>4923</v>
      </c>
      <c r="L137" s="82">
        <v>732205345</v>
      </c>
      <c r="M137" s="82">
        <v>433540549</v>
      </c>
      <c r="N137" s="111">
        <f t="shared" si="14"/>
        <v>1165745894</v>
      </c>
      <c r="O137" s="111">
        <f t="shared" si="13"/>
        <v>-454188</v>
      </c>
      <c r="P137" s="111">
        <f>N137-N136</f>
        <v>-6638505</v>
      </c>
      <c r="Q137" s="216">
        <v>0</v>
      </c>
    </row>
    <row r="138" spans="9:30">
      <c r="I138" s="205"/>
      <c r="J138" s="111">
        <f t="shared" si="5"/>
        <v>4122409</v>
      </c>
      <c r="K138" s="205" t="s">
        <v>4925</v>
      </c>
      <c r="L138" s="82">
        <v>736327754</v>
      </c>
      <c r="M138" s="82">
        <v>439057094</v>
      </c>
      <c r="N138" s="111">
        <f t="shared" si="14"/>
        <v>1175384848</v>
      </c>
      <c r="O138" s="111">
        <f t="shared" si="13"/>
        <v>5516545</v>
      </c>
      <c r="P138" s="111">
        <f>N138-N137</f>
        <v>9638954</v>
      </c>
      <c r="Q138" s="216">
        <v>0</v>
      </c>
      <c r="X138" s="94"/>
      <c r="Y138" s="94"/>
      <c r="Z138" s="94" t="s">
        <v>4574</v>
      </c>
      <c r="AA138" s="94"/>
    </row>
    <row r="139" spans="9:30">
      <c r="I139" s="187" t="s">
        <v>4928</v>
      </c>
      <c r="J139" s="186">
        <f>L139-L138-206000</f>
        <v>15013287</v>
      </c>
      <c r="K139" s="187" t="s">
        <v>4927</v>
      </c>
      <c r="L139" s="220">
        <v>751547041</v>
      </c>
      <c r="M139" s="220">
        <v>448656068</v>
      </c>
      <c r="N139" s="210">
        <f t="shared" si="14"/>
        <v>1200203109</v>
      </c>
      <c r="O139" s="186">
        <f>M139-M138-206000</f>
        <v>9392974</v>
      </c>
      <c r="P139" s="186">
        <f>N139-N138-412000</f>
        <v>24406261</v>
      </c>
      <c r="Q139" s="216">
        <v>412000</v>
      </c>
      <c r="X139" s="94"/>
      <c r="Y139" s="94"/>
      <c r="Z139" s="94" t="s">
        <v>4575</v>
      </c>
      <c r="AA139" s="202">
        <v>35441</v>
      </c>
      <c r="AD139" t="s">
        <v>25</v>
      </c>
    </row>
    <row r="140" spans="9:30" ht="90">
      <c r="I140" s="229" t="s">
        <v>4933</v>
      </c>
      <c r="J140" s="230">
        <f>L140-L139-50000</f>
        <v>22852739</v>
      </c>
      <c r="K140" s="229" t="s">
        <v>4932</v>
      </c>
      <c r="L140" s="231">
        <v>774449780</v>
      </c>
      <c r="M140" s="231">
        <v>460796198</v>
      </c>
      <c r="N140" s="210">
        <f t="shared" si="14"/>
        <v>1235245978</v>
      </c>
      <c r="O140" s="230">
        <f>M140-M139-50000</f>
        <v>12090130</v>
      </c>
      <c r="P140" s="230">
        <f>N140-N139-100000</f>
        <v>34942869</v>
      </c>
      <c r="Q140" s="216">
        <v>100000</v>
      </c>
      <c r="X140" s="22" t="s">
        <v>4578</v>
      </c>
      <c r="Y140" s="22" t="s">
        <v>4577</v>
      </c>
      <c r="Z140" s="22" t="s">
        <v>4576</v>
      </c>
      <c r="AA140" s="22" t="s">
        <v>4579</v>
      </c>
    </row>
    <row r="141" spans="9:30">
      <c r="I141" s="205"/>
      <c r="J141" s="111">
        <f t="shared" si="5"/>
        <v>13614989</v>
      </c>
      <c r="K141" s="205" t="s">
        <v>4935</v>
      </c>
      <c r="L141" s="82">
        <v>788064769</v>
      </c>
      <c r="M141" s="82">
        <v>470434493</v>
      </c>
      <c r="N141" s="210">
        <f t="shared" si="14"/>
        <v>1258499262</v>
      </c>
      <c r="O141" s="111">
        <f t="shared" si="13"/>
        <v>9638295</v>
      </c>
      <c r="P141" s="111">
        <f>N141-N140</f>
        <v>23253284</v>
      </c>
      <c r="Q141" s="216">
        <v>0</v>
      </c>
    </row>
    <row r="142" spans="9:30">
      <c r="I142" s="187" t="s">
        <v>4938</v>
      </c>
      <c r="J142" s="186">
        <f>L142-L141-105000</f>
        <v>7274368</v>
      </c>
      <c r="K142" s="187" t="s">
        <v>4936</v>
      </c>
      <c r="L142" s="220">
        <v>795444137</v>
      </c>
      <c r="M142" s="220">
        <v>496046411</v>
      </c>
      <c r="N142" s="210">
        <f t="shared" si="14"/>
        <v>1291490548</v>
      </c>
      <c r="O142" s="186">
        <f>M142-M141-20000000</f>
        <v>5611918</v>
      </c>
      <c r="P142" s="186">
        <f>N142-N141-20105000</f>
        <v>12886286</v>
      </c>
      <c r="Q142" s="216">
        <v>20105000</v>
      </c>
    </row>
    <row r="143" spans="9:30">
      <c r="I143" s="242" t="s">
        <v>4944</v>
      </c>
      <c r="J143" s="243">
        <f>L143-L142+21285588</f>
        <v>17942685</v>
      </c>
      <c r="K143" s="242" t="s">
        <v>4940</v>
      </c>
      <c r="L143" s="244">
        <v>792101234</v>
      </c>
      <c r="M143" s="244">
        <v>504721695</v>
      </c>
      <c r="N143" s="210">
        <f t="shared" si="14"/>
        <v>1296822929</v>
      </c>
      <c r="O143" s="243">
        <f t="shared" si="13"/>
        <v>8675284</v>
      </c>
      <c r="P143" s="243">
        <f>N143-N142+21285588</f>
        <v>26617969</v>
      </c>
      <c r="Q143" s="216">
        <v>-21285588</v>
      </c>
    </row>
    <row r="144" spans="9:30">
      <c r="I144" s="242" t="s">
        <v>4945</v>
      </c>
      <c r="J144" s="243">
        <f>L144-L143+5949277</f>
        <v>6616903</v>
      </c>
      <c r="K144" s="242" t="s">
        <v>4941</v>
      </c>
      <c r="L144" s="244">
        <v>792768860</v>
      </c>
      <c r="M144" s="244">
        <v>507955566</v>
      </c>
      <c r="N144" s="210">
        <f t="shared" si="14"/>
        <v>1300724426</v>
      </c>
      <c r="O144" s="243">
        <f t="shared" si="13"/>
        <v>3233871</v>
      </c>
      <c r="P144" s="243">
        <f>N144-N143+5949277</f>
        <v>9850774</v>
      </c>
      <c r="Q144" s="216">
        <v>-5949277</v>
      </c>
    </row>
    <row r="145" spans="9:23" ht="30">
      <c r="I145" s="226" t="s">
        <v>4946</v>
      </c>
      <c r="J145" s="227">
        <f>L145-L144+16266000</f>
        <v>-3424278</v>
      </c>
      <c r="K145" s="208" t="s">
        <v>976</v>
      </c>
      <c r="L145" s="228">
        <v>773078582</v>
      </c>
      <c r="M145" s="228">
        <v>483243300</v>
      </c>
      <c r="N145" s="227">
        <f t="shared" si="14"/>
        <v>1256321882</v>
      </c>
      <c r="O145" s="227">
        <f>M145-M144+24159150</f>
        <v>-553116</v>
      </c>
      <c r="P145" s="227">
        <f>N145-N144+40425150</f>
        <v>-3977394</v>
      </c>
      <c r="Q145" s="216">
        <v>-40425150</v>
      </c>
    </row>
    <row r="146" spans="9:23">
      <c r="I146" s="245" t="s">
        <v>4948</v>
      </c>
      <c r="J146" s="210">
        <f>L146-L145+15482124</f>
        <v>-6662026</v>
      </c>
      <c r="K146" s="209" t="s">
        <v>4947</v>
      </c>
      <c r="L146" s="246">
        <v>750934432</v>
      </c>
      <c r="M146" s="246">
        <v>477277384</v>
      </c>
      <c r="N146" s="210">
        <f t="shared" ref="N146:N203" si="15">L146+M146</f>
        <v>1228211816</v>
      </c>
      <c r="O146" s="210">
        <f>M146-M145-50000</f>
        <v>-6015916</v>
      </c>
      <c r="P146" s="210">
        <f>N146-N145-50000+15482124</f>
        <v>-12677942</v>
      </c>
      <c r="Q146" s="216">
        <f>50000-15482124</f>
        <v>-15432124</v>
      </c>
    </row>
    <row r="147" spans="9:23">
      <c r="I147" s="205"/>
      <c r="J147" s="111">
        <f t="shared" ref="J147:J199" si="16">L147-L146</f>
        <v>-5020195</v>
      </c>
      <c r="K147" s="205" t="s">
        <v>4949</v>
      </c>
      <c r="L147" s="82">
        <v>745914237</v>
      </c>
      <c r="M147" s="82">
        <v>473862216</v>
      </c>
      <c r="N147" s="111">
        <f t="shared" si="15"/>
        <v>1219776453</v>
      </c>
      <c r="O147" s="111">
        <f t="shared" ref="O147:O158" si="17">M147-M146</f>
        <v>-3415168</v>
      </c>
      <c r="P147" s="111">
        <f t="shared" ref="P147:P158" si="18">N147-N146</f>
        <v>-8435363</v>
      </c>
      <c r="Q147" s="216">
        <v>0</v>
      </c>
    </row>
    <row r="148" spans="9:23">
      <c r="I148" s="205"/>
      <c r="J148" s="111">
        <f t="shared" si="16"/>
        <v>-2990159</v>
      </c>
      <c r="K148" s="205" t="s">
        <v>4950</v>
      </c>
      <c r="L148" s="82">
        <v>742924078</v>
      </c>
      <c r="M148" s="82">
        <v>472064753</v>
      </c>
      <c r="N148" s="111">
        <f t="shared" si="15"/>
        <v>1214988831</v>
      </c>
      <c r="O148" s="111">
        <f t="shared" si="17"/>
        <v>-1797463</v>
      </c>
      <c r="P148" s="111">
        <f t="shared" si="18"/>
        <v>-4787622</v>
      </c>
      <c r="Q148" s="216">
        <v>0</v>
      </c>
      <c r="T148" t="s">
        <v>25</v>
      </c>
    </row>
    <row r="149" spans="9:23">
      <c r="I149" s="205"/>
      <c r="J149" s="111">
        <f t="shared" si="16"/>
        <v>-2104826</v>
      </c>
      <c r="K149" s="205" t="s">
        <v>4951</v>
      </c>
      <c r="L149" s="82">
        <v>740819252</v>
      </c>
      <c r="M149" s="82">
        <v>470305993</v>
      </c>
      <c r="N149" s="111">
        <f t="shared" si="15"/>
        <v>1211125245</v>
      </c>
      <c r="O149" s="111">
        <f t="shared" si="17"/>
        <v>-1758760</v>
      </c>
      <c r="P149" s="111">
        <f t="shared" si="18"/>
        <v>-3863586</v>
      </c>
      <c r="Q149" s="216">
        <v>0</v>
      </c>
      <c r="V149" t="s">
        <v>25</v>
      </c>
    </row>
    <row r="150" spans="9:23">
      <c r="I150" s="187" t="s">
        <v>4954</v>
      </c>
      <c r="J150" s="186">
        <f t="shared" si="16"/>
        <v>19640187</v>
      </c>
      <c r="K150" s="187" t="s">
        <v>4953</v>
      </c>
      <c r="L150" s="220">
        <v>760459439</v>
      </c>
      <c r="M150" s="220">
        <v>480341526</v>
      </c>
      <c r="N150" s="186">
        <f t="shared" si="15"/>
        <v>1240800965</v>
      </c>
      <c r="O150" s="186">
        <f>M150-M149-2480000</f>
        <v>7555533</v>
      </c>
      <c r="P150" s="186">
        <f>N150-N149-2480000</f>
        <v>27195720</v>
      </c>
      <c r="Q150" s="216">
        <v>2480000</v>
      </c>
    </row>
    <row r="151" spans="9:23">
      <c r="I151" s="205" t="s">
        <v>4957</v>
      </c>
      <c r="J151" s="111">
        <f>L151-L150-10000000</f>
        <v>7047541</v>
      </c>
      <c r="K151" s="205" t="s">
        <v>4956</v>
      </c>
      <c r="L151" s="82">
        <v>777506980</v>
      </c>
      <c r="M151" s="82">
        <v>487011941</v>
      </c>
      <c r="N151" s="210">
        <f t="shared" si="15"/>
        <v>1264518921</v>
      </c>
      <c r="O151" s="111">
        <f t="shared" si="17"/>
        <v>6670415</v>
      </c>
      <c r="P151" s="111">
        <f>N151-N150-10000000</f>
        <v>13717956</v>
      </c>
      <c r="Q151" s="216">
        <v>10000000</v>
      </c>
    </row>
    <row r="152" spans="9:23">
      <c r="I152" s="205"/>
      <c r="J152" s="111">
        <f t="shared" si="16"/>
        <v>12326187</v>
      </c>
      <c r="K152" s="205" t="s">
        <v>4958</v>
      </c>
      <c r="L152" s="82">
        <v>789833167</v>
      </c>
      <c r="M152" s="82">
        <v>496662271</v>
      </c>
      <c r="N152" s="210">
        <f t="shared" si="15"/>
        <v>1286495438</v>
      </c>
      <c r="O152" s="111">
        <f t="shared" si="17"/>
        <v>9650330</v>
      </c>
      <c r="P152" s="111">
        <f t="shared" si="18"/>
        <v>21976517</v>
      </c>
      <c r="Q152" s="216">
        <v>0</v>
      </c>
    </row>
    <row r="153" spans="9:23">
      <c r="I153" s="205"/>
      <c r="J153" s="111">
        <f t="shared" si="16"/>
        <v>-15331439</v>
      </c>
      <c r="K153" s="205" t="s">
        <v>4961</v>
      </c>
      <c r="L153" s="82">
        <v>774501728</v>
      </c>
      <c r="M153" s="82">
        <v>489029442</v>
      </c>
      <c r="N153" s="111">
        <f t="shared" si="15"/>
        <v>1263531170</v>
      </c>
      <c r="O153" s="111">
        <f t="shared" si="17"/>
        <v>-7632829</v>
      </c>
      <c r="P153" s="111">
        <f t="shared" si="18"/>
        <v>-22964268</v>
      </c>
      <c r="Q153" s="216">
        <v>0</v>
      </c>
    </row>
    <row r="154" spans="9:23">
      <c r="I154" s="205"/>
      <c r="J154" s="111">
        <f t="shared" si="16"/>
        <v>-32356446</v>
      </c>
      <c r="K154" s="205" t="s">
        <v>4962</v>
      </c>
      <c r="L154" s="82">
        <v>742145282</v>
      </c>
      <c r="M154" s="82">
        <v>468861007</v>
      </c>
      <c r="N154" s="111">
        <f t="shared" si="15"/>
        <v>1211006289</v>
      </c>
      <c r="O154" s="111">
        <f t="shared" si="17"/>
        <v>-20168435</v>
      </c>
      <c r="P154" s="111">
        <f t="shared" si="18"/>
        <v>-52524881</v>
      </c>
      <c r="Q154" s="216">
        <v>0</v>
      </c>
      <c r="S154" s="112"/>
    </row>
    <row r="155" spans="9:23">
      <c r="I155" s="205"/>
      <c r="J155" s="111">
        <f t="shared" si="16"/>
        <v>27087716</v>
      </c>
      <c r="K155" s="205" t="s">
        <v>4959</v>
      </c>
      <c r="L155" s="82">
        <v>769232998</v>
      </c>
      <c r="M155" s="82">
        <v>486200144</v>
      </c>
      <c r="N155" s="111">
        <f t="shared" si="15"/>
        <v>1255433142</v>
      </c>
      <c r="O155" s="111">
        <f t="shared" si="17"/>
        <v>17339137</v>
      </c>
      <c r="P155" s="111">
        <f t="shared" si="18"/>
        <v>44426853</v>
      </c>
      <c r="Q155" s="216">
        <v>0</v>
      </c>
    </row>
    <row r="156" spans="9:23">
      <c r="I156" s="205"/>
      <c r="J156" s="111">
        <f t="shared" si="16"/>
        <v>-11588296</v>
      </c>
      <c r="K156" s="205" t="s">
        <v>4963</v>
      </c>
      <c r="L156" s="82">
        <v>757644702</v>
      </c>
      <c r="M156" s="82">
        <v>479518419</v>
      </c>
      <c r="N156" s="111">
        <f t="shared" si="15"/>
        <v>1237163121</v>
      </c>
      <c r="O156" s="111">
        <f t="shared" si="17"/>
        <v>-6681725</v>
      </c>
      <c r="P156" s="111">
        <f t="shared" si="18"/>
        <v>-18270021</v>
      </c>
      <c r="Q156" s="216">
        <v>0</v>
      </c>
    </row>
    <row r="157" spans="9:23">
      <c r="I157" s="205"/>
      <c r="J157" s="111">
        <f t="shared" si="16"/>
        <v>44081635</v>
      </c>
      <c r="K157" s="205" t="s">
        <v>4210</v>
      </c>
      <c r="L157" s="82">
        <v>801726337</v>
      </c>
      <c r="M157" s="82">
        <v>506850552</v>
      </c>
      <c r="N157" s="210">
        <f t="shared" si="15"/>
        <v>1308576889</v>
      </c>
      <c r="O157" s="111">
        <f t="shared" si="17"/>
        <v>27332133</v>
      </c>
      <c r="P157" s="111">
        <f t="shared" si="18"/>
        <v>71413768</v>
      </c>
      <c r="Q157" s="216">
        <v>0</v>
      </c>
      <c r="W157" t="s">
        <v>25</v>
      </c>
    </row>
    <row r="158" spans="9:23">
      <c r="I158" s="205"/>
      <c r="J158" s="111">
        <f t="shared" si="16"/>
        <v>6630946</v>
      </c>
      <c r="K158" s="205" t="s">
        <v>4964</v>
      </c>
      <c r="L158" s="82">
        <v>808357283</v>
      </c>
      <c r="M158" s="82">
        <v>511928213</v>
      </c>
      <c r="N158" s="210">
        <f t="shared" si="15"/>
        <v>1320285496</v>
      </c>
      <c r="O158" s="111">
        <f t="shared" si="17"/>
        <v>5077661</v>
      </c>
      <c r="P158" s="111">
        <f t="shared" si="18"/>
        <v>11708607</v>
      </c>
      <c r="Q158" s="216">
        <v>0</v>
      </c>
    </row>
    <row r="159" spans="9:23">
      <c r="I159" s="205"/>
      <c r="J159" s="111">
        <f t="shared" si="16"/>
        <v>-3113999</v>
      </c>
      <c r="K159" s="205" t="s">
        <v>4960</v>
      </c>
      <c r="L159" s="82">
        <v>805243284</v>
      </c>
      <c r="M159" s="82">
        <v>510366011</v>
      </c>
      <c r="N159" s="111">
        <f t="shared" si="15"/>
        <v>1315609295</v>
      </c>
      <c r="O159" s="111">
        <f t="shared" ref="O159:O203" si="19">M159-M158</f>
        <v>-1562202</v>
      </c>
      <c r="P159" s="111">
        <f t="shared" ref="P159:P199" si="20">N159-N158</f>
        <v>-4676201</v>
      </c>
      <c r="Q159" s="216">
        <v>0</v>
      </c>
    </row>
    <row r="160" spans="9:23">
      <c r="I160" s="248" t="s">
        <v>4975</v>
      </c>
      <c r="J160" s="186">
        <f>L160-L159-1000000</f>
        <v>-11757327</v>
      </c>
      <c r="K160" s="187" t="s">
        <v>4974</v>
      </c>
      <c r="L160" s="220">
        <v>794485957</v>
      </c>
      <c r="M160" s="220">
        <v>500307505</v>
      </c>
      <c r="N160" s="186">
        <f t="shared" si="15"/>
        <v>1294793462</v>
      </c>
      <c r="O160" s="186">
        <f>M160-M159-400000</f>
        <v>-10458506</v>
      </c>
      <c r="P160" s="186">
        <f>N160-N159-1400000</f>
        <v>-22215833</v>
      </c>
      <c r="Q160" s="216">
        <v>1400000</v>
      </c>
    </row>
    <row r="161" spans="9:18">
      <c r="I161" s="205"/>
      <c r="J161" s="111">
        <f t="shared" si="16"/>
        <v>15301801</v>
      </c>
      <c r="K161" s="205" t="s">
        <v>4976</v>
      </c>
      <c r="L161" s="82">
        <v>809787758</v>
      </c>
      <c r="M161" s="82">
        <v>508573621</v>
      </c>
      <c r="N161" s="111">
        <f t="shared" si="15"/>
        <v>1318361379</v>
      </c>
      <c r="O161" s="111">
        <f t="shared" si="19"/>
        <v>8266116</v>
      </c>
      <c r="P161" s="111">
        <f t="shared" si="20"/>
        <v>23567917</v>
      </c>
    </row>
    <row r="162" spans="9:18">
      <c r="I162" s="229" t="s">
        <v>4978</v>
      </c>
      <c r="J162" s="230">
        <f>L162-L161-40000</f>
        <v>22492792</v>
      </c>
      <c r="K162" s="229" t="s">
        <v>4977</v>
      </c>
      <c r="L162" s="231">
        <v>832320550</v>
      </c>
      <c r="M162" s="231">
        <v>520218492</v>
      </c>
      <c r="N162" s="210">
        <f t="shared" si="15"/>
        <v>1352539042</v>
      </c>
      <c r="O162" s="230">
        <f>M162-M161-40000</f>
        <v>11604871</v>
      </c>
      <c r="P162" s="230">
        <f>N162-N161-80000</f>
        <v>34097663</v>
      </c>
      <c r="Q162" s="216">
        <v>80000</v>
      </c>
    </row>
    <row r="163" spans="9:18">
      <c r="I163" s="205"/>
      <c r="J163" s="111">
        <f t="shared" si="16"/>
        <v>17160356</v>
      </c>
      <c r="K163" s="205" t="s">
        <v>4980</v>
      </c>
      <c r="L163" s="82">
        <v>849480906</v>
      </c>
      <c r="M163" s="82">
        <v>529879172</v>
      </c>
      <c r="N163" s="210">
        <f t="shared" si="15"/>
        <v>1379360078</v>
      </c>
      <c r="O163" s="111">
        <f t="shared" si="19"/>
        <v>9660680</v>
      </c>
      <c r="P163" s="111">
        <f t="shared" si="20"/>
        <v>26821036</v>
      </c>
      <c r="Q163" s="216">
        <v>0</v>
      </c>
    </row>
    <row r="164" spans="9:18">
      <c r="I164" s="205"/>
      <c r="J164" s="111">
        <f t="shared" si="16"/>
        <v>-9629608</v>
      </c>
      <c r="K164" s="205" t="s">
        <v>4984</v>
      </c>
      <c r="L164" s="82">
        <v>839851298</v>
      </c>
      <c r="M164" s="82">
        <v>524867809</v>
      </c>
      <c r="N164" s="111">
        <f t="shared" si="15"/>
        <v>1364719107</v>
      </c>
      <c r="O164" s="111">
        <f t="shared" si="19"/>
        <v>-5011363</v>
      </c>
      <c r="P164" s="111">
        <f t="shared" si="20"/>
        <v>-14640971</v>
      </c>
      <c r="Q164" s="216">
        <v>0</v>
      </c>
    </row>
    <row r="165" spans="9:18">
      <c r="I165" s="229" t="s">
        <v>4986</v>
      </c>
      <c r="J165" s="230">
        <f>L165-L164-120000</f>
        <v>-2216696</v>
      </c>
      <c r="K165" s="229" t="s">
        <v>4985</v>
      </c>
      <c r="L165" s="231">
        <v>837754602</v>
      </c>
      <c r="M165" s="231">
        <v>524141818</v>
      </c>
      <c r="N165" s="230">
        <f t="shared" si="15"/>
        <v>1361896420</v>
      </c>
      <c r="O165" s="230">
        <f>M165-M164-200000</f>
        <v>-925991</v>
      </c>
      <c r="P165" s="230">
        <f>N165-N164-320000</f>
        <v>-3142687</v>
      </c>
      <c r="Q165" s="216">
        <v>320000</v>
      </c>
    </row>
    <row r="166" spans="9:18">
      <c r="I166" s="229" t="s">
        <v>4908</v>
      </c>
      <c r="J166" s="230">
        <f t="shared" si="16"/>
        <v>-5830761</v>
      </c>
      <c r="K166" s="229" t="s">
        <v>4989</v>
      </c>
      <c r="L166" s="231">
        <v>831923841</v>
      </c>
      <c r="M166" s="231">
        <v>520741895</v>
      </c>
      <c r="N166" s="230">
        <f t="shared" si="15"/>
        <v>1352665736</v>
      </c>
      <c r="O166" s="230">
        <f>M166-M165-500000</f>
        <v>-3899923</v>
      </c>
      <c r="P166" s="230">
        <f>N166-N165-500000</f>
        <v>-9730684</v>
      </c>
      <c r="Q166" s="216">
        <v>500000</v>
      </c>
    </row>
    <row r="167" spans="9:18">
      <c r="I167" s="229" t="s">
        <v>4908</v>
      </c>
      <c r="J167" s="230">
        <f t="shared" si="16"/>
        <v>-22467551</v>
      </c>
      <c r="K167" s="229" t="s">
        <v>4991</v>
      </c>
      <c r="L167" s="231">
        <v>809456290</v>
      </c>
      <c r="M167" s="231">
        <v>509313372</v>
      </c>
      <c r="N167" s="230">
        <f t="shared" si="15"/>
        <v>1318769662</v>
      </c>
      <c r="O167" s="230">
        <f>M167-M166-500000</f>
        <v>-11928523</v>
      </c>
      <c r="P167" s="230">
        <f>N167-N166-500000</f>
        <v>-34396074</v>
      </c>
      <c r="Q167" s="216">
        <v>500000</v>
      </c>
    </row>
    <row r="168" spans="9:18">
      <c r="I168" s="229" t="s">
        <v>4992</v>
      </c>
      <c r="J168" s="230">
        <f>L168-L167-249000</f>
        <v>-15588738</v>
      </c>
      <c r="K168" s="229" t="s">
        <v>4982</v>
      </c>
      <c r="L168" s="231">
        <v>794116552</v>
      </c>
      <c r="M168" s="231">
        <v>501172095</v>
      </c>
      <c r="N168" s="230">
        <f t="shared" si="15"/>
        <v>1295288647</v>
      </c>
      <c r="O168" s="230">
        <f>M168-M167-250000</f>
        <v>-8391277</v>
      </c>
      <c r="P168" s="230">
        <f>N168-N167-499000</f>
        <v>-23980015</v>
      </c>
      <c r="Q168" s="216">
        <v>499000</v>
      </c>
    </row>
    <row r="169" spans="9:18">
      <c r="I169" s="205"/>
      <c r="J169" s="111">
        <f t="shared" si="16"/>
        <v>11269240</v>
      </c>
      <c r="K169" s="205" t="s">
        <v>4993</v>
      </c>
      <c r="L169" s="82">
        <v>805385792</v>
      </c>
      <c r="M169" s="82">
        <v>507195022</v>
      </c>
      <c r="N169" s="111">
        <f t="shared" si="15"/>
        <v>1312580814</v>
      </c>
      <c r="O169" s="111">
        <f t="shared" si="19"/>
        <v>6022927</v>
      </c>
      <c r="P169" s="111">
        <f t="shared" si="20"/>
        <v>17292167</v>
      </c>
      <c r="Q169" s="216">
        <v>0</v>
      </c>
    </row>
    <row r="170" spans="9:18">
      <c r="I170" s="205"/>
      <c r="J170" s="111">
        <f t="shared" si="16"/>
        <v>-18119284</v>
      </c>
      <c r="K170" s="205" t="s">
        <v>4996</v>
      </c>
      <c r="L170" s="82">
        <v>787266508</v>
      </c>
      <c r="M170" s="82">
        <v>498492039</v>
      </c>
      <c r="N170" s="111">
        <f t="shared" si="15"/>
        <v>1285758547</v>
      </c>
      <c r="O170" s="111">
        <f t="shared" si="19"/>
        <v>-8702983</v>
      </c>
      <c r="P170" s="111">
        <f t="shared" si="20"/>
        <v>-26822267</v>
      </c>
      <c r="Q170" s="216">
        <v>0</v>
      </c>
    </row>
    <row r="171" spans="9:18">
      <c r="I171" s="205"/>
      <c r="J171" s="111">
        <f t="shared" si="16"/>
        <v>19151757</v>
      </c>
      <c r="K171" s="205" t="s">
        <v>3835</v>
      </c>
      <c r="L171" s="82">
        <v>806418265</v>
      </c>
      <c r="M171" s="82">
        <v>508251365</v>
      </c>
      <c r="N171" s="111">
        <f t="shared" si="15"/>
        <v>1314669630</v>
      </c>
      <c r="O171" s="111">
        <f t="shared" si="19"/>
        <v>9759326</v>
      </c>
      <c r="P171" s="111">
        <f t="shared" si="20"/>
        <v>28911083</v>
      </c>
      <c r="Q171" s="216">
        <v>0</v>
      </c>
    </row>
    <row r="172" spans="9:18">
      <c r="I172" s="205"/>
      <c r="J172" s="111">
        <f t="shared" si="16"/>
        <v>-130356</v>
      </c>
      <c r="K172" s="205" t="s">
        <v>5004</v>
      </c>
      <c r="L172" s="82">
        <v>806287909</v>
      </c>
      <c r="M172" s="233">
        <v>508728805</v>
      </c>
      <c r="N172" s="111">
        <f t="shared" si="15"/>
        <v>1315016714</v>
      </c>
      <c r="O172" s="111">
        <f t="shared" si="19"/>
        <v>477440</v>
      </c>
      <c r="P172" s="111">
        <f t="shared" si="20"/>
        <v>347084</v>
      </c>
      <c r="Q172" s="216">
        <v>0</v>
      </c>
    </row>
    <row r="173" spans="9:18">
      <c r="I173" s="205"/>
      <c r="J173" s="111">
        <f t="shared" si="16"/>
        <v>-4205755</v>
      </c>
      <c r="K173" s="205" t="s">
        <v>5005</v>
      </c>
      <c r="L173" s="82">
        <v>802082154</v>
      </c>
      <c r="M173" s="82">
        <v>508611485</v>
      </c>
      <c r="N173" s="111">
        <f t="shared" si="15"/>
        <v>1310693639</v>
      </c>
      <c r="O173" s="111">
        <f t="shared" si="19"/>
        <v>-117320</v>
      </c>
      <c r="P173" s="111">
        <f t="shared" si="20"/>
        <v>-4323075</v>
      </c>
      <c r="Q173" s="216">
        <v>0</v>
      </c>
      <c r="R173" t="s">
        <v>25</v>
      </c>
    </row>
    <row r="174" spans="9:18">
      <c r="I174" s="229" t="s">
        <v>5008</v>
      </c>
      <c r="J174" s="230">
        <f>L174-L173-65000</f>
        <v>5888390</v>
      </c>
      <c r="K174" s="229" t="s">
        <v>5007</v>
      </c>
      <c r="L174" s="231">
        <v>808035544</v>
      </c>
      <c r="M174" s="231">
        <v>512177913</v>
      </c>
      <c r="N174" s="230">
        <f t="shared" si="15"/>
        <v>1320213457</v>
      </c>
      <c r="O174" s="230">
        <f t="shared" si="19"/>
        <v>3566428</v>
      </c>
      <c r="P174" s="230">
        <f>N174-N173-65000</f>
        <v>9454818</v>
      </c>
      <c r="Q174" s="216">
        <v>65000</v>
      </c>
    </row>
    <row r="175" spans="9:18">
      <c r="I175" s="205"/>
      <c r="J175" s="111">
        <f t="shared" si="16"/>
        <v>347325</v>
      </c>
      <c r="K175" s="205" t="s">
        <v>4211</v>
      </c>
      <c r="L175" s="82">
        <v>808382869</v>
      </c>
      <c r="M175" s="82">
        <v>512740969</v>
      </c>
      <c r="N175" s="111">
        <f t="shared" si="15"/>
        <v>1321123838</v>
      </c>
      <c r="O175" s="111">
        <f t="shared" si="19"/>
        <v>563056</v>
      </c>
      <c r="P175" s="111">
        <f t="shared" si="20"/>
        <v>910381</v>
      </c>
      <c r="Q175" s="216">
        <v>0</v>
      </c>
    </row>
    <row r="176" spans="9:18">
      <c r="I176" s="208" t="s">
        <v>5013</v>
      </c>
      <c r="J176" s="227">
        <f>L176-L175+305807</f>
        <v>8668560</v>
      </c>
      <c r="K176" s="208" t="s">
        <v>5011</v>
      </c>
      <c r="L176" s="228">
        <v>816745622</v>
      </c>
      <c r="M176" s="228">
        <v>516127148</v>
      </c>
      <c r="N176" s="227">
        <f t="shared" si="15"/>
        <v>1332872770</v>
      </c>
      <c r="O176" s="227">
        <f>M176-M175+305807</f>
        <v>3691986</v>
      </c>
      <c r="P176" s="227">
        <f>N176-N175+611614</f>
        <v>12360546</v>
      </c>
      <c r="Q176" s="216">
        <v>-611614</v>
      </c>
    </row>
    <row r="177" spans="9:17">
      <c r="I177" s="150" t="s">
        <v>5014</v>
      </c>
      <c r="J177" s="227">
        <f>L177-L176+63348</f>
        <v>4837676</v>
      </c>
      <c r="K177" s="208" t="s">
        <v>5012</v>
      </c>
      <c r="L177" s="228">
        <v>821519950</v>
      </c>
      <c r="M177" s="228">
        <v>505943649</v>
      </c>
      <c r="N177" s="227">
        <f t="shared" si="15"/>
        <v>1327463599</v>
      </c>
      <c r="O177" s="227">
        <f>M177-M176+13076601</f>
        <v>2893102</v>
      </c>
      <c r="P177" s="227">
        <f>N177-N176+13139949</f>
        <v>7730778</v>
      </c>
      <c r="Q177" s="216">
        <v>-13139949</v>
      </c>
    </row>
    <row r="178" spans="9:17">
      <c r="I178" s="249" t="s">
        <v>5017</v>
      </c>
      <c r="J178" s="250">
        <f>L178-L177-50000</f>
        <v>30757186</v>
      </c>
      <c r="K178" s="249" t="s">
        <v>5016</v>
      </c>
      <c r="L178" s="251">
        <v>852327136</v>
      </c>
      <c r="M178" s="251">
        <v>521297098</v>
      </c>
      <c r="N178" s="210">
        <f t="shared" si="15"/>
        <v>1373624234</v>
      </c>
      <c r="O178" s="250">
        <f>M178-M177+1330520</f>
        <v>16683969</v>
      </c>
      <c r="P178" s="250">
        <f t="shared" si="20"/>
        <v>46160635</v>
      </c>
      <c r="Q178" s="216">
        <v>1280520</v>
      </c>
    </row>
    <row r="179" spans="9:17">
      <c r="I179" s="205"/>
      <c r="J179" s="111">
        <f t="shared" si="16"/>
        <v>3566567</v>
      </c>
      <c r="K179" s="205" t="s">
        <v>4983</v>
      </c>
      <c r="L179" s="82">
        <v>855893703</v>
      </c>
      <c r="M179" s="82">
        <v>523555571</v>
      </c>
      <c r="N179" s="210">
        <f t="shared" si="15"/>
        <v>1379449274</v>
      </c>
      <c r="O179" s="111">
        <f t="shared" si="19"/>
        <v>2258473</v>
      </c>
      <c r="P179" s="111">
        <f t="shared" si="20"/>
        <v>5825040</v>
      </c>
      <c r="Q179" s="216">
        <v>0</v>
      </c>
    </row>
    <row r="180" spans="9:17">
      <c r="I180" s="205"/>
      <c r="J180" s="111">
        <f t="shared" si="16"/>
        <v>38722880</v>
      </c>
      <c r="K180" s="205" t="s">
        <v>5022</v>
      </c>
      <c r="L180" s="82">
        <v>894616583</v>
      </c>
      <c r="M180" s="82">
        <v>542439358</v>
      </c>
      <c r="N180" s="210">
        <f t="shared" si="15"/>
        <v>1437055941</v>
      </c>
      <c r="O180" s="111">
        <f t="shared" si="19"/>
        <v>18883787</v>
      </c>
      <c r="P180" s="111">
        <f t="shared" si="20"/>
        <v>57606667</v>
      </c>
      <c r="Q180" s="216">
        <v>0</v>
      </c>
    </row>
    <row r="181" spans="9:17">
      <c r="I181" s="205"/>
      <c r="J181" s="111">
        <f t="shared" si="16"/>
        <v>16136832</v>
      </c>
      <c r="K181" s="205" t="s">
        <v>5025</v>
      </c>
      <c r="L181" s="82">
        <v>910753415</v>
      </c>
      <c r="M181" s="82">
        <v>556456529</v>
      </c>
      <c r="N181" s="210">
        <f>L181+M181</f>
        <v>1467209944</v>
      </c>
      <c r="O181" s="111">
        <f t="shared" si="19"/>
        <v>14017171</v>
      </c>
      <c r="P181" s="111">
        <f t="shared" si="20"/>
        <v>30154003</v>
      </c>
      <c r="Q181" s="216">
        <v>0</v>
      </c>
    </row>
    <row r="182" spans="9:17">
      <c r="I182" s="205"/>
      <c r="J182" s="111">
        <f t="shared" si="16"/>
        <v>12506133</v>
      </c>
      <c r="K182" s="205" t="s">
        <v>5026</v>
      </c>
      <c r="L182" s="82">
        <v>923259548</v>
      </c>
      <c r="M182" s="82">
        <v>567570020</v>
      </c>
      <c r="N182" s="210">
        <f t="shared" si="15"/>
        <v>1490829568</v>
      </c>
      <c r="O182" s="111">
        <f t="shared" si="19"/>
        <v>11113491</v>
      </c>
      <c r="P182" s="111">
        <f t="shared" si="20"/>
        <v>23619624</v>
      </c>
      <c r="Q182" s="216">
        <v>0</v>
      </c>
    </row>
    <row r="183" spans="9:17">
      <c r="I183" s="205"/>
      <c r="J183" s="111">
        <f t="shared" si="16"/>
        <v>-6894672</v>
      </c>
      <c r="K183" s="205" t="s">
        <v>5031</v>
      </c>
      <c r="L183" s="82">
        <v>916364876</v>
      </c>
      <c r="M183" s="82">
        <v>564106459</v>
      </c>
      <c r="N183" s="111">
        <f t="shared" si="15"/>
        <v>1480471335</v>
      </c>
      <c r="O183" s="111">
        <f t="shared" si="19"/>
        <v>-3463561</v>
      </c>
      <c r="P183" s="111">
        <f t="shared" si="20"/>
        <v>-10358233</v>
      </c>
      <c r="Q183" s="216">
        <v>0</v>
      </c>
    </row>
    <row r="184" spans="9:17">
      <c r="I184" s="205"/>
      <c r="J184" s="111">
        <f t="shared" si="16"/>
        <v>-11657822</v>
      </c>
      <c r="K184" s="205" t="s">
        <v>5032</v>
      </c>
      <c r="L184" s="82">
        <v>904707054</v>
      </c>
      <c r="M184" s="82">
        <v>557394961</v>
      </c>
      <c r="N184" s="111">
        <f t="shared" si="15"/>
        <v>1462102015</v>
      </c>
      <c r="O184" s="111">
        <f t="shared" si="19"/>
        <v>-6711498</v>
      </c>
      <c r="P184" s="111">
        <f t="shared" si="20"/>
        <v>-18369320</v>
      </c>
      <c r="Q184" s="216">
        <v>0</v>
      </c>
    </row>
    <row r="185" spans="9:17">
      <c r="I185" s="187" t="s">
        <v>5035</v>
      </c>
      <c r="J185" s="186">
        <f>L185-L184-200000</f>
        <v>15983884</v>
      </c>
      <c r="K185" s="187" t="s">
        <v>5033</v>
      </c>
      <c r="L185" s="220">
        <v>920890938</v>
      </c>
      <c r="M185" s="220">
        <v>566042468</v>
      </c>
      <c r="N185" s="186">
        <f t="shared" si="15"/>
        <v>1486933406</v>
      </c>
      <c r="O185" s="186">
        <f t="shared" si="19"/>
        <v>8647507</v>
      </c>
      <c r="P185" s="186">
        <f>N185-N184-200000</f>
        <v>24631391</v>
      </c>
      <c r="Q185" s="216">
        <v>200000</v>
      </c>
    </row>
    <row r="186" spans="9:17">
      <c r="I186" s="187" t="s">
        <v>5042</v>
      </c>
      <c r="J186" s="186">
        <f>L186-L185-30000</f>
        <v>1392982</v>
      </c>
      <c r="K186" s="187" t="s">
        <v>5036</v>
      </c>
      <c r="L186" s="220">
        <v>922313920</v>
      </c>
      <c r="M186" s="220">
        <v>567221668</v>
      </c>
      <c r="N186" s="186">
        <f t="shared" si="15"/>
        <v>1489535588</v>
      </c>
      <c r="O186" s="186">
        <f t="shared" si="19"/>
        <v>1179200</v>
      </c>
      <c r="P186" s="186">
        <f>N186-N185-30000</f>
        <v>2572182</v>
      </c>
      <c r="Q186" s="216">
        <v>30000</v>
      </c>
    </row>
    <row r="187" spans="9:17">
      <c r="I187" s="205" t="s">
        <v>5047</v>
      </c>
      <c r="J187" s="111">
        <f t="shared" si="16"/>
        <v>-1865454</v>
      </c>
      <c r="K187" s="205" t="s">
        <v>5046</v>
      </c>
      <c r="L187" s="82">
        <v>920448466</v>
      </c>
      <c r="M187" s="82">
        <v>581598140</v>
      </c>
      <c r="N187" s="111">
        <f t="shared" si="15"/>
        <v>1502046606</v>
      </c>
      <c r="O187" s="111">
        <f>M187-M186-14340000</f>
        <v>36472</v>
      </c>
      <c r="P187" s="111">
        <f>N187-N186-14340000</f>
        <v>-1828982</v>
      </c>
      <c r="Q187" s="216">
        <v>14340000</v>
      </c>
    </row>
    <row r="188" spans="9:17">
      <c r="I188" s="205"/>
      <c r="J188" s="111">
        <f t="shared" si="16"/>
        <v>12522279</v>
      </c>
      <c r="K188" s="205" t="s">
        <v>5048</v>
      </c>
      <c r="L188" s="82">
        <v>932970745</v>
      </c>
      <c r="M188" s="82">
        <v>587671418</v>
      </c>
      <c r="N188" s="210">
        <f t="shared" si="15"/>
        <v>1520642163</v>
      </c>
      <c r="O188" s="111">
        <f t="shared" si="19"/>
        <v>6073278</v>
      </c>
      <c r="P188" s="111">
        <f t="shared" si="20"/>
        <v>18595557</v>
      </c>
      <c r="Q188" s="216">
        <v>0</v>
      </c>
    </row>
    <row r="189" spans="9:17">
      <c r="I189" s="205"/>
      <c r="J189" s="111">
        <f t="shared" si="16"/>
        <v>18096784</v>
      </c>
      <c r="K189" s="205" t="s">
        <v>4995</v>
      </c>
      <c r="L189" s="82">
        <v>951067529</v>
      </c>
      <c r="M189" s="82">
        <v>596275041</v>
      </c>
      <c r="N189" s="210">
        <f t="shared" si="15"/>
        <v>1547342570</v>
      </c>
      <c r="O189" s="111">
        <f t="shared" si="19"/>
        <v>8603623</v>
      </c>
      <c r="P189" s="111">
        <f t="shared" si="20"/>
        <v>26700407</v>
      </c>
      <c r="Q189" s="216">
        <v>0</v>
      </c>
    </row>
    <row r="190" spans="9:17" ht="30">
      <c r="I190" s="248" t="s">
        <v>5053</v>
      </c>
      <c r="J190" s="186">
        <f>L190-L189+4000000</f>
        <v>-1393565</v>
      </c>
      <c r="K190" s="187" t="s">
        <v>5052</v>
      </c>
      <c r="L190" s="220">
        <v>945673964</v>
      </c>
      <c r="M190" s="220">
        <v>604047583</v>
      </c>
      <c r="N190" s="186">
        <f t="shared" si="15"/>
        <v>1549721547</v>
      </c>
      <c r="O190" s="186">
        <f>M190-M189-10000000</f>
        <v>-2227458</v>
      </c>
      <c r="P190" s="186">
        <f>N190-N189-6000000</f>
        <v>-3621023</v>
      </c>
      <c r="Q190" s="216">
        <v>6000000</v>
      </c>
    </row>
    <row r="191" spans="9:17">
      <c r="I191" s="205"/>
      <c r="J191" s="111">
        <f t="shared" si="16"/>
        <v>3150981</v>
      </c>
      <c r="K191" s="205" t="s">
        <v>5054</v>
      </c>
      <c r="L191" s="82">
        <v>948824945</v>
      </c>
      <c r="M191" s="82">
        <v>605597895</v>
      </c>
      <c r="N191" s="210">
        <f t="shared" si="15"/>
        <v>1554422840</v>
      </c>
      <c r="O191" s="111">
        <f t="shared" si="19"/>
        <v>1550312</v>
      </c>
      <c r="P191" s="111">
        <f t="shared" si="20"/>
        <v>4701293</v>
      </c>
      <c r="Q191" s="216">
        <v>0</v>
      </c>
    </row>
    <row r="192" spans="9:17">
      <c r="I192" s="205"/>
      <c r="J192" s="111">
        <f t="shared" si="16"/>
        <v>-10638388</v>
      </c>
      <c r="K192" s="205" t="s">
        <v>5055</v>
      </c>
      <c r="L192" s="82">
        <v>938186557</v>
      </c>
      <c r="M192" s="82">
        <v>598751030</v>
      </c>
      <c r="N192" s="111">
        <f t="shared" si="15"/>
        <v>1536937587</v>
      </c>
      <c r="O192" s="111">
        <f t="shared" si="19"/>
        <v>-6846865</v>
      </c>
      <c r="P192" s="111">
        <f t="shared" si="20"/>
        <v>-17485253</v>
      </c>
      <c r="Q192" s="216">
        <v>0</v>
      </c>
    </row>
    <row r="193" spans="9:17">
      <c r="I193" s="205"/>
      <c r="J193" s="111">
        <f t="shared" si="16"/>
        <v>-21535837</v>
      </c>
      <c r="K193" s="205" t="s">
        <v>4316</v>
      </c>
      <c r="L193" s="82">
        <v>916650720</v>
      </c>
      <c r="M193" s="82">
        <v>586585010</v>
      </c>
      <c r="N193" s="111">
        <f t="shared" si="15"/>
        <v>1503235730</v>
      </c>
      <c r="O193" s="111">
        <f t="shared" si="19"/>
        <v>-12166020</v>
      </c>
      <c r="P193" s="111">
        <f t="shared" si="20"/>
        <v>-33701857</v>
      </c>
      <c r="Q193" s="216">
        <v>0</v>
      </c>
    </row>
    <row r="194" spans="9:17">
      <c r="I194" s="19"/>
      <c r="J194" s="115">
        <f>L194-L193</f>
        <v>-15375391</v>
      </c>
      <c r="K194" s="19" t="s">
        <v>5057</v>
      </c>
      <c r="L194" s="233">
        <v>901275329</v>
      </c>
      <c r="M194" s="233">
        <v>583098793</v>
      </c>
      <c r="N194" s="115">
        <f>L194+M194</f>
        <v>1484374122</v>
      </c>
      <c r="O194" s="115">
        <f t="shared" si="19"/>
        <v>-3486217</v>
      </c>
      <c r="P194" s="115">
        <f>N194-N193</f>
        <v>-18861608</v>
      </c>
      <c r="Q194" s="216">
        <v>0</v>
      </c>
    </row>
    <row r="195" spans="9:17">
      <c r="I195" s="187" t="s">
        <v>5062</v>
      </c>
      <c r="J195" s="186">
        <f>L195-L194-150000</f>
        <v>17593478</v>
      </c>
      <c r="K195" s="187" t="s">
        <v>5060</v>
      </c>
      <c r="L195" s="220">
        <v>919018807</v>
      </c>
      <c r="M195" s="220">
        <v>589857160</v>
      </c>
      <c r="N195" s="186">
        <f t="shared" si="15"/>
        <v>1508875967</v>
      </c>
      <c r="O195" s="186">
        <f>M195-M194</f>
        <v>6758367</v>
      </c>
      <c r="P195" s="186">
        <f>N195-N194-150000</f>
        <v>24351845</v>
      </c>
      <c r="Q195" s="216">
        <v>150000</v>
      </c>
    </row>
    <row r="196" spans="9:17">
      <c r="I196" s="205"/>
      <c r="J196" s="111">
        <f t="shared" si="16"/>
        <v>32160045</v>
      </c>
      <c r="K196" s="205" t="s">
        <v>5063</v>
      </c>
      <c r="L196" s="82">
        <v>951178852</v>
      </c>
      <c r="M196" s="82">
        <v>603949839</v>
      </c>
      <c r="N196" s="210">
        <f t="shared" si="15"/>
        <v>1555128691</v>
      </c>
      <c r="O196" s="111">
        <f t="shared" si="19"/>
        <v>14092679</v>
      </c>
      <c r="P196" s="111">
        <f t="shared" si="20"/>
        <v>46252724</v>
      </c>
      <c r="Q196" s="216">
        <v>0</v>
      </c>
    </row>
    <row r="197" spans="9:17">
      <c r="I197" s="205"/>
      <c r="J197" s="111">
        <f t="shared" si="16"/>
        <v>9807002</v>
      </c>
      <c r="K197" s="205" t="s">
        <v>5064</v>
      </c>
      <c r="L197" s="82">
        <v>960985854</v>
      </c>
      <c r="M197" s="82">
        <v>620237864</v>
      </c>
      <c r="N197" s="210">
        <f t="shared" si="15"/>
        <v>1581223718</v>
      </c>
      <c r="O197" s="111">
        <f t="shared" si="19"/>
        <v>16288025</v>
      </c>
      <c r="P197" s="111">
        <f t="shared" si="20"/>
        <v>26095027</v>
      </c>
      <c r="Q197" s="216">
        <v>0</v>
      </c>
    </row>
    <row r="198" spans="9:17">
      <c r="I198" s="205"/>
      <c r="J198" s="111">
        <f t="shared" si="16"/>
        <v>19013006</v>
      </c>
      <c r="K198" s="205" t="s">
        <v>5067</v>
      </c>
      <c r="L198" s="82">
        <v>979998860</v>
      </c>
      <c r="M198" s="82">
        <v>637744664</v>
      </c>
      <c r="N198" s="210">
        <f t="shared" si="15"/>
        <v>1617743524</v>
      </c>
      <c r="O198" s="111">
        <f t="shared" si="19"/>
        <v>17506800</v>
      </c>
      <c r="P198" s="111">
        <f t="shared" si="20"/>
        <v>36519806</v>
      </c>
      <c r="Q198" s="216">
        <v>0</v>
      </c>
    </row>
    <row r="199" spans="9:17">
      <c r="I199" s="205"/>
      <c r="J199" s="111">
        <f t="shared" si="16"/>
        <v>12077451</v>
      </c>
      <c r="K199" s="205" t="s">
        <v>5092</v>
      </c>
      <c r="L199" s="82">
        <v>992076311</v>
      </c>
      <c r="M199" s="82">
        <v>638214788</v>
      </c>
      <c r="N199" s="210">
        <f t="shared" si="15"/>
        <v>1630291099</v>
      </c>
      <c r="O199" s="111">
        <f t="shared" si="19"/>
        <v>470124</v>
      </c>
      <c r="P199" s="111">
        <f t="shared" si="20"/>
        <v>12547575</v>
      </c>
      <c r="Q199" s="216">
        <v>0</v>
      </c>
    </row>
    <row r="200" spans="9:17">
      <c r="I200" s="187" t="s">
        <v>5095</v>
      </c>
      <c r="J200" s="186">
        <f>L200-L199-400000</f>
        <v>-7612896</v>
      </c>
      <c r="K200" s="187" t="s">
        <v>5093</v>
      </c>
      <c r="L200" s="220">
        <v>984863415</v>
      </c>
      <c r="M200" s="220">
        <v>632226484</v>
      </c>
      <c r="N200" s="186">
        <f t="shared" si="15"/>
        <v>1617089899</v>
      </c>
      <c r="O200" s="186">
        <f t="shared" si="19"/>
        <v>-5988304</v>
      </c>
      <c r="P200" s="186">
        <f>N200-N199-400000</f>
        <v>-13601200</v>
      </c>
      <c r="Q200" s="216">
        <v>400000</v>
      </c>
    </row>
    <row r="201" spans="9:17">
      <c r="I201" s="208" t="s">
        <v>5098</v>
      </c>
      <c r="J201" s="227">
        <f>L201-L200+100000</f>
        <v>12509920</v>
      </c>
      <c r="K201" s="208" t="s">
        <v>5096</v>
      </c>
      <c r="L201" s="228">
        <v>997273335</v>
      </c>
      <c r="M201" s="228">
        <v>639479822</v>
      </c>
      <c r="N201" s="210">
        <f t="shared" si="15"/>
        <v>1636753157</v>
      </c>
      <c r="O201" s="227">
        <f t="shared" si="19"/>
        <v>7253338</v>
      </c>
      <c r="P201" s="227">
        <f>N201-N200+100000</f>
        <v>19763258</v>
      </c>
      <c r="Q201" s="216">
        <v>-100000</v>
      </c>
    </row>
    <row r="202" spans="9:17">
      <c r="I202" s="187" t="s">
        <v>5101</v>
      </c>
      <c r="J202" s="186">
        <f>L202-L201-10000000</f>
        <v>-2265988</v>
      </c>
      <c r="K202" s="187" t="s">
        <v>5100</v>
      </c>
      <c r="L202" s="220">
        <v>1005007347</v>
      </c>
      <c r="M202" s="220">
        <v>636084938</v>
      </c>
      <c r="N202" s="186">
        <f t="shared" si="15"/>
        <v>1641092285</v>
      </c>
      <c r="O202" s="186">
        <f t="shared" si="19"/>
        <v>-3394884</v>
      </c>
      <c r="P202" s="186">
        <f>N202-N201-10000000</f>
        <v>-5660872</v>
      </c>
      <c r="Q202" s="216">
        <v>10000000</v>
      </c>
    </row>
    <row r="203" spans="9:17">
      <c r="I203" s="208" t="s">
        <v>5106</v>
      </c>
      <c r="J203" s="227">
        <f>L203-L202+400000</f>
        <v>8061336</v>
      </c>
      <c r="K203" s="208" t="s">
        <v>5105</v>
      </c>
      <c r="L203" s="228">
        <v>1012668683</v>
      </c>
      <c r="M203" s="228">
        <v>641491326</v>
      </c>
      <c r="N203" s="210">
        <f t="shared" si="15"/>
        <v>1654160009</v>
      </c>
      <c r="O203" s="227">
        <f t="shared" si="19"/>
        <v>5406388</v>
      </c>
      <c r="P203" s="227">
        <f>N203-N202+400000</f>
        <v>13467724</v>
      </c>
      <c r="Q203" s="216">
        <v>-400000</v>
      </c>
    </row>
    <row r="204" spans="9:17">
      <c r="I204" s="208" t="s">
        <v>5107</v>
      </c>
      <c r="J204" s="227">
        <f t="shared" ref="J204:J237" si="21">L204-L203</f>
        <v>-21392180</v>
      </c>
      <c r="K204" s="208" t="s">
        <v>958</v>
      </c>
      <c r="L204" s="228">
        <v>991276503</v>
      </c>
      <c r="M204" s="228">
        <v>624698003</v>
      </c>
      <c r="N204" s="227">
        <f t="shared" ref="N204:N213" si="22">L204+M204</f>
        <v>1615974506</v>
      </c>
      <c r="O204" s="227">
        <f>M204-M203+3960043</f>
        <v>-12833280</v>
      </c>
      <c r="P204" s="227">
        <f>N204-N203+3960043</f>
        <v>-34225460</v>
      </c>
      <c r="Q204" s="216">
        <v>-3960043</v>
      </c>
    </row>
    <row r="205" spans="9:17">
      <c r="I205" s="205"/>
      <c r="J205" s="111">
        <f t="shared" si="21"/>
        <v>3426714</v>
      </c>
      <c r="K205" s="205" t="s">
        <v>5108</v>
      </c>
      <c r="L205" s="82">
        <v>994703217</v>
      </c>
      <c r="M205" s="82">
        <v>626521958</v>
      </c>
      <c r="N205" s="111">
        <f t="shared" si="22"/>
        <v>1621225175</v>
      </c>
      <c r="O205" s="111">
        <f>M205-M204</f>
        <v>1823955</v>
      </c>
      <c r="P205" s="111">
        <f>N205-N204</f>
        <v>5250669</v>
      </c>
      <c r="Q205" s="216">
        <v>0</v>
      </c>
    </row>
    <row r="206" spans="9:17">
      <c r="I206" s="205"/>
      <c r="J206" s="111">
        <f t="shared" si="21"/>
        <v>-3600500</v>
      </c>
      <c r="K206" s="205" t="s">
        <v>5111</v>
      </c>
      <c r="L206" s="82">
        <v>991102717</v>
      </c>
      <c r="M206" s="82">
        <v>623731041</v>
      </c>
      <c r="N206" s="111">
        <f t="shared" si="22"/>
        <v>1614833758</v>
      </c>
      <c r="O206" s="111">
        <f>M206-M205</f>
        <v>-2790917</v>
      </c>
      <c r="P206" s="111">
        <f>N206-N205</f>
        <v>-6391417</v>
      </c>
      <c r="Q206" s="216">
        <v>0</v>
      </c>
    </row>
    <row r="207" spans="9:17">
      <c r="I207" s="187" t="s">
        <v>5114</v>
      </c>
      <c r="J207" s="186">
        <f>L207-L206-1300000</f>
        <v>-17889835</v>
      </c>
      <c r="K207" s="187" t="s">
        <v>5112</v>
      </c>
      <c r="L207" s="220">
        <v>974512882</v>
      </c>
      <c r="M207" s="220">
        <v>611227725</v>
      </c>
      <c r="N207" s="186">
        <f t="shared" si="22"/>
        <v>1585740607</v>
      </c>
      <c r="O207" s="186">
        <f>M207-M206-230000</f>
        <v>-12733316</v>
      </c>
      <c r="P207" s="186">
        <f>N207-N206-1530000</f>
        <v>-30623151</v>
      </c>
      <c r="Q207" s="216">
        <v>1530000</v>
      </c>
    </row>
    <row r="208" spans="9:17">
      <c r="I208" s="208" t="s">
        <v>5116</v>
      </c>
      <c r="J208" s="227">
        <f>L208-L207-230000</f>
        <v>26666770</v>
      </c>
      <c r="K208" s="208" t="s">
        <v>5115</v>
      </c>
      <c r="L208" s="228">
        <v>1001409652</v>
      </c>
      <c r="M208" s="228">
        <v>627313031</v>
      </c>
      <c r="N208" s="227">
        <f t="shared" si="22"/>
        <v>1628722683</v>
      </c>
      <c r="O208" s="227">
        <f>M208-M207+880000</f>
        <v>16965306</v>
      </c>
      <c r="P208" s="227">
        <f>N208-N207</f>
        <v>42982076</v>
      </c>
      <c r="Q208" s="216">
        <v>-650000</v>
      </c>
    </row>
    <row r="209" spans="9:19">
      <c r="I209" s="187" t="s">
        <v>5117</v>
      </c>
      <c r="J209" s="186">
        <f>L209-L208-880000</f>
        <v>38363123</v>
      </c>
      <c r="K209" s="187" t="s">
        <v>5118</v>
      </c>
      <c r="L209" s="220">
        <v>1040652775</v>
      </c>
      <c r="M209" s="220">
        <v>653526288</v>
      </c>
      <c r="N209" s="210">
        <f t="shared" si="22"/>
        <v>1694179063</v>
      </c>
      <c r="O209" s="186">
        <f>M209-M208</f>
        <v>26213257</v>
      </c>
      <c r="P209" s="186">
        <f>N209-N208-880000</f>
        <v>64576380</v>
      </c>
      <c r="Q209" s="216">
        <v>880000</v>
      </c>
    </row>
    <row r="210" spans="9:19">
      <c r="I210" s="208" t="s">
        <v>5120</v>
      </c>
      <c r="J210" s="227">
        <f>L210-L209+900000</f>
        <v>20298534</v>
      </c>
      <c r="K210" s="208" t="s">
        <v>5119</v>
      </c>
      <c r="L210" s="228">
        <v>1060051309</v>
      </c>
      <c r="M210" s="228">
        <v>663872836</v>
      </c>
      <c r="N210" s="210">
        <f t="shared" si="22"/>
        <v>1723924145</v>
      </c>
      <c r="O210" s="227">
        <f>M210-M209-200000</f>
        <v>10146548</v>
      </c>
      <c r="P210" s="227">
        <f>N210-N209+700000</f>
        <v>30445082</v>
      </c>
      <c r="Q210" s="216">
        <v>-700000</v>
      </c>
    </row>
    <row r="211" spans="9:19">
      <c r="I211" s="187" t="s">
        <v>5121</v>
      </c>
      <c r="J211" s="186">
        <f>L211-L210+3500000</f>
        <v>4965285</v>
      </c>
      <c r="K211" s="187" t="s">
        <v>975</v>
      </c>
      <c r="L211" s="220">
        <v>1061516594</v>
      </c>
      <c r="M211" s="220">
        <v>663100475</v>
      </c>
      <c r="N211" s="186">
        <f t="shared" si="22"/>
        <v>1724617069</v>
      </c>
      <c r="O211" s="186">
        <f>M211-M210-4300000</f>
        <v>-5072361</v>
      </c>
      <c r="P211" s="186">
        <f>N211-N210-800000</f>
        <v>-107076</v>
      </c>
      <c r="Q211" s="216">
        <v>800000</v>
      </c>
    </row>
    <row r="212" spans="9:19">
      <c r="I212" s="205" t="s">
        <v>5122</v>
      </c>
      <c r="J212" s="111">
        <f>L212-L211+1600000</f>
        <v>-56870795</v>
      </c>
      <c r="K212" s="205" t="s">
        <v>4253</v>
      </c>
      <c r="L212" s="82">
        <v>1003045799</v>
      </c>
      <c r="M212" s="82">
        <v>634655771</v>
      </c>
      <c r="N212" s="111">
        <f t="shared" si="22"/>
        <v>1637701570</v>
      </c>
      <c r="O212" s="111">
        <f>M212-M211-1600000</f>
        <v>-30044704</v>
      </c>
      <c r="P212" s="111">
        <f>N212-N211</f>
        <v>-86915499</v>
      </c>
      <c r="Q212" s="216">
        <v>0</v>
      </c>
    </row>
    <row r="213" spans="9:19">
      <c r="I213" s="205" t="s">
        <v>5123</v>
      </c>
      <c r="J213" s="111">
        <f>L213-L212+800000</f>
        <v>15351721</v>
      </c>
      <c r="K213" s="205" t="s">
        <v>5124</v>
      </c>
      <c r="L213" s="82">
        <v>1017597520</v>
      </c>
      <c r="M213" s="82">
        <v>638870084</v>
      </c>
      <c r="N213" s="111">
        <f t="shared" si="22"/>
        <v>1656467604</v>
      </c>
      <c r="O213" s="111">
        <f>M213-M212+10000000</f>
        <v>14214313</v>
      </c>
      <c r="P213" s="111">
        <f>N213-N212+10800000</f>
        <v>29566034</v>
      </c>
      <c r="Q213" s="216">
        <v>-10800000</v>
      </c>
    </row>
    <row r="214" spans="9:19">
      <c r="I214" s="208" t="s">
        <v>5130</v>
      </c>
      <c r="J214" s="227">
        <f t="shared" si="21"/>
        <v>-18127600</v>
      </c>
      <c r="K214" s="208" t="s">
        <v>5126</v>
      </c>
      <c r="L214" s="228">
        <v>999469920</v>
      </c>
      <c r="M214" s="228">
        <v>621895248</v>
      </c>
      <c r="N214" s="227">
        <f t="shared" ref="N214:N239" si="23">L214+M214</f>
        <v>1621365168</v>
      </c>
      <c r="O214" s="227">
        <f>M214-M213-771000</f>
        <v>-17745836</v>
      </c>
      <c r="P214" s="227">
        <f>N214-N213-771000</f>
        <v>-35873436</v>
      </c>
      <c r="Q214" s="216">
        <v>771000</v>
      </c>
    </row>
    <row r="215" spans="9:19">
      <c r="I215" s="205"/>
      <c r="J215" s="111">
        <f t="shared" si="21"/>
        <v>11344596</v>
      </c>
      <c r="K215" s="205" t="s">
        <v>5131</v>
      </c>
      <c r="L215" s="82">
        <v>1010814516</v>
      </c>
      <c r="M215" s="82">
        <v>632227289</v>
      </c>
      <c r="N215" s="111">
        <f t="shared" si="23"/>
        <v>1643041805</v>
      </c>
      <c r="O215" s="111">
        <f t="shared" ref="O215:O239" si="24">M215-M214</f>
        <v>10332041</v>
      </c>
      <c r="P215" s="111">
        <f t="shared" ref="P215:P237" si="25">N215-N214</f>
        <v>21676637</v>
      </c>
      <c r="Q215" s="216">
        <v>0</v>
      </c>
    </row>
    <row r="216" spans="9:19">
      <c r="I216" s="205"/>
      <c r="J216" s="111">
        <f t="shared" si="21"/>
        <v>3409742</v>
      </c>
      <c r="K216" s="205" t="s">
        <v>959</v>
      </c>
      <c r="L216" s="82">
        <v>1014224258</v>
      </c>
      <c r="M216" s="82">
        <v>635501882</v>
      </c>
      <c r="N216" s="111">
        <f t="shared" si="23"/>
        <v>1649726140</v>
      </c>
      <c r="O216" s="111">
        <f t="shared" si="24"/>
        <v>3274593</v>
      </c>
      <c r="P216" s="111">
        <f t="shared" si="25"/>
        <v>6684335</v>
      </c>
      <c r="Q216" s="216">
        <v>0</v>
      </c>
    </row>
    <row r="217" spans="9:19">
      <c r="I217" s="208" t="s">
        <v>5133</v>
      </c>
      <c r="J217" s="227">
        <f>L217-L216-50000</f>
        <v>-3947893</v>
      </c>
      <c r="K217" s="208" t="s">
        <v>5132</v>
      </c>
      <c r="L217" s="228">
        <v>1010326365</v>
      </c>
      <c r="M217" s="228">
        <v>632690003</v>
      </c>
      <c r="N217" s="227">
        <f t="shared" si="23"/>
        <v>1643016368</v>
      </c>
      <c r="O217" s="227">
        <f t="shared" si="24"/>
        <v>-2811879</v>
      </c>
      <c r="P217" s="227">
        <f>N217-N216-50000</f>
        <v>-6759772</v>
      </c>
      <c r="Q217" s="216">
        <v>50000</v>
      </c>
    </row>
    <row r="218" spans="9:19">
      <c r="I218" s="208" t="s">
        <v>5135</v>
      </c>
      <c r="J218" s="227">
        <f>L218-L217-400000</f>
        <v>-7352281</v>
      </c>
      <c r="K218" s="208" t="s">
        <v>5137</v>
      </c>
      <c r="L218" s="228">
        <v>1003374084</v>
      </c>
      <c r="M218" s="228">
        <v>629402570</v>
      </c>
      <c r="N218" s="227">
        <f t="shared" si="23"/>
        <v>1632776654</v>
      </c>
      <c r="O218" s="227">
        <f t="shared" si="24"/>
        <v>-3287433</v>
      </c>
      <c r="P218" s="227">
        <f>N218-N217-400000</f>
        <v>-10639714</v>
      </c>
      <c r="Q218" s="216">
        <v>400000</v>
      </c>
      <c r="S218" t="s">
        <v>25</v>
      </c>
    </row>
    <row r="219" spans="9:19">
      <c r="I219" s="205"/>
      <c r="J219" s="111">
        <f t="shared" si="21"/>
        <v>-3856402</v>
      </c>
      <c r="K219" s="205" t="s">
        <v>5139</v>
      </c>
      <c r="L219" s="82">
        <v>999517682</v>
      </c>
      <c r="M219" s="82">
        <v>627640361</v>
      </c>
      <c r="N219" s="111">
        <f t="shared" si="23"/>
        <v>1627158043</v>
      </c>
      <c r="O219" s="111">
        <f t="shared" si="24"/>
        <v>-1762209</v>
      </c>
      <c r="P219" s="111">
        <f t="shared" si="25"/>
        <v>-5618611</v>
      </c>
      <c r="Q219" s="216">
        <v>0</v>
      </c>
    </row>
    <row r="220" spans="9:19">
      <c r="I220" s="187" t="s">
        <v>5141</v>
      </c>
      <c r="J220" s="186">
        <f t="shared" si="21"/>
        <v>30762624</v>
      </c>
      <c r="K220" s="187" t="s">
        <v>5140</v>
      </c>
      <c r="L220" s="220">
        <v>1030280306</v>
      </c>
      <c r="M220" s="220">
        <v>645538230</v>
      </c>
      <c r="N220" s="186">
        <f t="shared" si="23"/>
        <v>1675818536</v>
      </c>
      <c r="O220" s="186">
        <f>M220-M219+500000</f>
        <v>18397869</v>
      </c>
      <c r="P220" s="186">
        <f>N220-N219+500000</f>
        <v>49160493</v>
      </c>
      <c r="Q220" s="216">
        <v>-500000</v>
      </c>
    </row>
    <row r="221" spans="9:19">
      <c r="I221" s="205"/>
      <c r="J221" s="111">
        <f t="shared" si="21"/>
        <v>-16347657</v>
      </c>
      <c r="K221" s="205" t="s">
        <v>5110</v>
      </c>
      <c r="L221" s="82">
        <v>1013932649</v>
      </c>
      <c r="M221" s="82">
        <v>635152182</v>
      </c>
      <c r="N221" s="111">
        <f t="shared" si="23"/>
        <v>1649084831</v>
      </c>
      <c r="O221" s="111">
        <f t="shared" si="24"/>
        <v>-10386048</v>
      </c>
      <c r="P221" s="111">
        <f t="shared" si="25"/>
        <v>-26733705</v>
      </c>
      <c r="Q221" s="216">
        <v>0</v>
      </c>
    </row>
    <row r="222" spans="9:19">
      <c r="I222" s="253" t="s">
        <v>5145</v>
      </c>
      <c r="J222" s="254">
        <f>L222-L221+7000000</f>
        <v>4431891</v>
      </c>
      <c r="K222" s="253" t="s">
        <v>5146</v>
      </c>
      <c r="L222" s="255">
        <v>1011364540</v>
      </c>
      <c r="M222" s="255">
        <v>634014280</v>
      </c>
      <c r="N222" s="254">
        <f t="shared" si="23"/>
        <v>1645378820</v>
      </c>
      <c r="O222" s="254">
        <f t="shared" si="24"/>
        <v>-1137902</v>
      </c>
      <c r="P222" s="254">
        <f>N222-N221+7000000</f>
        <v>3293989</v>
      </c>
      <c r="Q222" s="216">
        <v>-7000000</v>
      </c>
    </row>
    <row r="223" spans="9:19">
      <c r="I223" s="208" t="s">
        <v>5148</v>
      </c>
      <c r="J223" s="227">
        <f t="shared" si="21"/>
        <v>-12364540</v>
      </c>
      <c r="K223" s="208" t="s">
        <v>5147</v>
      </c>
      <c r="L223" s="228">
        <v>999000000</v>
      </c>
      <c r="M223" s="228">
        <v>628000000</v>
      </c>
      <c r="N223" s="227">
        <f t="shared" si="23"/>
        <v>1627000000</v>
      </c>
      <c r="O223" s="227">
        <f>M223-M222-300000</f>
        <v>-6314280</v>
      </c>
      <c r="P223" s="227">
        <f>N223-N222-300000</f>
        <v>-18678820</v>
      </c>
      <c r="Q223" s="216">
        <v>300000</v>
      </c>
    </row>
    <row r="224" spans="9:19">
      <c r="I224" s="205"/>
      <c r="J224" s="111">
        <f t="shared" si="21"/>
        <v>1428495</v>
      </c>
      <c r="K224" s="205" t="s">
        <v>5149</v>
      </c>
      <c r="L224" s="82">
        <v>1000428495</v>
      </c>
      <c r="M224" s="82">
        <v>629000000</v>
      </c>
      <c r="N224" s="111">
        <f t="shared" si="23"/>
        <v>1629428495</v>
      </c>
      <c r="O224" s="111">
        <f t="shared" si="24"/>
        <v>1000000</v>
      </c>
      <c r="P224" s="111">
        <f t="shared" si="25"/>
        <v>2428495</v>
      </c>
      <c r="Q224" s="216">
        <v>0</v>
      </c>
    </row>
    <row r="225" spans="9:19">
      <c r="I225" s="205"/>
      <c r="J225" s="111">
        <f t="shared" si="21"/>
        <v>211881</v>
      </c>
      <c r="K225" s="205" t="s">
        <v>5150</v>
      </c>
      <c r="L225" s="82">
        <v>1000640376</v>
      </c>
      <c r="M225" s="82">
        <v>627621912</v>
      </c>
      <c r="N225" s="111">
        <f t="shared" si="23"/>
        <v>1628262288</v>
      </c>
      <c r="O225" s="111">
        <f t="shared" si="24"/>
        <v>-1378088</v>
      </c>
      <c r="P225" s="111">
        <f t="shared" si="25"/>
        <v>-1166207</v>
      </c>
      <c r="Q225" s="216">
        <v>0</v>
      </c>
    </row>
    <row r="226" spans="9:19">
      <c r="I226" s="205"/>
      <c r="J226" s="111">
        <f t="shared" si="21"/>
        <v>-5640376</v>
      </c>
      <c r="K226" s="205" t="s">
        <v>5151</v>
      </c>
      <c r="L226" s="82">
        <v>995000000</v>
      </c>
      <c r="M226" s="82">
        <v>625000000</v>
      </c>
      <c r="N226" s="111">
        <f t="shared" si="23"/>
        <v>1620000000</v>
      </c>
      <c r="O226" s="111">
        <f t="shared" si="24"/>
        <v>-2621912</v>
      </c>
      <c r="P226" s="111">
        <f t="shared" si="25"/>
        <v>-8262288</v>
      </c>
      <c r="Q226" s="216">
        <v>0</v>
      </c>
    </row>
    <row r="227" spans="9:19">
      <c r="I227" s="187" t="s">
        <v>5152</v>
      </c>
      <c r="J227" s="186">
        <f t="shared" si="21"/>
        <v>-3000000</v>
      </c>
      <c r="K227" s="187" t="s">
        <v>974</v>
      </c>
      <c r="L227" s="220">
        <v>992000000</v>
      </c>
      <c r="M227" s="220">
        <v>624000000</v>
      </c>
      <c r="N227" s="186">
        <f t="shared" si="23"/>
        <v>1616000000</v>
      </c>
      <c r="O227" s="186">
        <f>M227-M226+50000</f>
        <v>-950000</v>
      </c>
      <c r="P227" s="186">
        <f>N227-N226+50000</f>
        <v>-3950000</v>
      </c>
      <c r="Q227" s="216">
        <v>-50000</v>
      </c>
    </row>
    <row r="228" spans="9:19">
      <c r="I228" s="205"/>
      <c r="J228" s="111">
        <f t="shared" si="21"/>
        <v>-5000000</v>
      </c>
      <c r="K228" s="205" t="s">
        <v>5154</v>
      </c>
      <c r="L228" s="82">
        <v>987000000</v>
      </c>
      <c r="M228" s="82">
        <v>621000000</v>
      </c>
      <c r="N228" s="111">
        <f t="shared" si="23"/>
        <v>1608000000</v>
      </c>
      <c r="O228" s="111">
        <f t="shared" si="24"/>
        <v>-3000000</v>
      </c>
      <c r="P228" s="111">
        <f t="shared" si="25"/>
        <v>-8000000</v>
      </c>
      <c r="Q228" s="216">
        <v>0</v>
      </c>
    </row>
    <row r="229" spans="9:19">
      <c r="I229" s="205"/>
      <c r="J229" s="111">
        <f t="shared" si="21"/>
        <v>-3300000</v>
      </c>
      <c r="K229" s="205" t="s">
        <v>5155</v>
      </c>
      <c r="L229" s="82">
        <v>983700000</v>
      </c>
      <c r="M229" s="82">
        <v>617000000</v>
      </c>
      <c r="N229" s="111">
        <f t="shared" si="23"/>
        <v>1600700000</v>
      </c>
      <c r="O229" s="111">
        <f t="shared" si="24"/>
        <v>-4000000</v>
      </c>
      <c r="P229" s="111">
        <f t="shared" si="25"/>
        <v>-7300000</v>
      </c>
      <c r="Q229" s="216">
        <v>0</v>
      </c>
    </row>
    <row r="230" spans="9:19">
      <c r="I230" s="205"/>
      <c r="J230" s="111">
        <f t="shared" si="21"/>
        <v>-2353171</v>
      </c>
      <c r="K230" s="205" t="s">
        <v>5156</v>
      </c>
      <c r="L230" s="82">
        <v>981346829</v>
      </c>
      <c r="M230" s="82">
        <v>616768631</v>
      </c>
      <c r="N230" s="111">
        <f>L230+M230</f>
        <v>1598115460</v>
      </c>
      <c r="O230" s="111">
        <f t="shared" si="24"/>
        <v>-231369</v>
      </c>
      <c r="P230" s="111">
        <f t="shared" si="25"/>
        <v>-2584540</v>
      </c>
      <c r="Q230" s="216">
        <v>0</v>
      </c>
    </row>
    <row r="231" spans="9:19">
      <c r="I231" s="187" t="s">
        <v>5158</v>
      </c>
      <c r="J231" s="186">
        <f t="shared" si="21"/>
        <v>-16599065</v>
      </c>
      <c r="K231" s="187" t="s">
        <v>4363</v>
      </c>
      <c r="L231" s="220">
        <v>964747764</v>
      </c>
      <c r="M231" s="220">
        <v>608415190</v>
      </c>
      <c r="N231" s="186">
        <f t="shared" si="23"/>
        <v>1573162954</v>
      </c>
      <c r="O231" s="186">
        <f t="shared" si="24"/>
        <v>-8353441</v>
      </c>
      <c r="P231" s="186">
        <f t="shared" si="25"/>
        <v>-24952506</v>
      </c>
      <c r="Q231" s="216">
        <v>-268952</v>
      </c>
      <c r="S231" t="s">
        <v>25</v>
      </c>
    </row>
    <row r="232" spans="9:19">
      <c r="I232" s="205"/>
      <c r="J232" s="111">
        <f t="shared" si="21"/>
        <v>18016509</v>
      </c>
      <c r="K232" s="205" t="s">
        <v>5157</v>
      </c>
      <c r="L232" s="82">
        <v>982764273</v>
      </c>
      <c r="M232" s="82">
        <v>618232370</v>
      </c>
      <c r="N232" s="111">
        <f t="shared" si="23"/>
        <v>1600996643</v>
      </c>
      <c r="O232" s="111">
        <f t="shared" si="24"/>
        <v>9817180</v>
      </c>
      <c r="P232" s="111">
        <f t="shared" si="25"/>
        <v>27833689</v>
      </c>
      <c r="Q232" s="216">
        <v>0</v>
      </c>
    </row>
    <row r="233" spans="9:19">
      <c r="I233" s="187" t="s">
        <v>5160</v>
      </c>
      <c r="J233" s="186">
        <f>L233-L232+990760</f>
        <v>270597</v>
      </c>
      <c r="K233" s="187" t="s">
        <v>5159</v>
      </c>
      <c r="L233" s="220">
        <v>982044110</v>
      </c>
      <c r="M233" s="220">
        <v>618201286</v>
      </c>
      <c r="N233" s="186">
        <f t="shared" si="23"/>
        <v>1600245396</v>
      </c>
      <c r="O233" s="186">
        <f t="shared" si="24"/>
        <v>-31084</v>
      </c>
      <c r="P233" s="186">
        <f>N233-N232+990760</f>
        <v>239513</v>
      </c>
      <c r="Q233" s="216">
        <v>-990760</v>
      </c>
    </row>
    <row r="234" spans="9:19">
      <c r="I234" s="205"/>
      <c r="J234" s="111">
        <f t="shared" si="21"/>
        <v>5089506</v>
      </c>
      <c r="K234" s="205" t="s">
        <v>5161</v>
      </c>
      <c r="L234" s="82">
        <v>987133616</v>
      </c>
      <c r="M234" s="82">
        <v>620624722</v>
      </c>
      <c r="N234" s="111">
        <f t="shared" si="23"/>
        <v>1607758338</v>
      </c>
      <c r="O234" s="111">
        <f t="shared" si="24"/>
        <v>2423436</v>
      </c>
      <c r="P234" s="111">
        <f t="shared" si="25"/>
        <v>7512942</v>
      </c>
      <c r="Q234" s="216">
        <v>0</v>
      </c>
    </row>
    <row r="235" spans="9:19">
      <c r="I235" s="205"/>
      <c r="J235" s="111">
        <f t="shared" si="21"/>
        <v>4922472</v>
      </c>
      <c r="K235" s="205" t="s">
        <v>5162</v>
      </c>
      <c r="L235" s="82">
        <v>992056088</v>
      </c>
      <c r="M235" s="82">
        <v>622612430</v>
      </c>
      <c r="N235" s="111">
        <f t="shared" si="23"/>
        <v>1614668518</v>
      </c>
      <c r="O235" s="111">
        <f t="shared" si="24"/>
        <v>1987708</v>
      </c>
      <c r="P235" s="111">
        <f t="shared" si="25"/>
        <v>6910180</v>
      </c>
      <c r="Q235" s="216">
        <v>0</v>
      </c>
    </row>
    <row r="236" spans="9:19">
      <c r="I236" s="205"/>
      <c r="J236" s="111">
        <f t="shared" si="21"/>
        <v>-8549283</v>
      </c>
      <c r="K236" s="205" t="s">
        <v>5165</v>
      </c>
      <c r="L236" s="82">
        <v>983506805</v>
      </c>
      <c r="M236" s="82">
        <v>617484940</v>
      </c>
      <c r="N236" s="111">
        <f t="shared" si="23"/>
        <v>1600991745</v>
      </c>
      <c r="O236" s="111">
        <f t="shared" si="24"/>
        <v>-5127490</v>
      </c>
      <c r="P236" s="111">
        <f t="shared" si="25"/>
        <v>-13676773</v>
      </c>
      <c r="Q236" s="216">
        <v>0</v>
      </c>
    </row>
    <row r="237" spans="9:19">
      <c r="I237" s="205"/>
      <c r="J237" s="111">
        <f t="shared" si="21"/>
        <v>-9570969</v>
      </c>
      <c r="K237" s="205" t="s">
        <v>5166</v>
      </c>
      <c r="L237" s="82">
        <v>973935836</v>
      </c>
      <c r="M237" s="82">
        <v>612781866</v>
      </c>
      <c r="N237" s="111">
        <f t="shared" si="23"/>
        <v>1586717702</v>
      </c>
      <c r="O237" s="111">
        <f t="shared" si="24"/>
        <v>-4703074</v>
      </c>
      <c r="P237" s="111">
        <f t="shared" si="25"/>
        <v>-14274043</v>
      </c>
      <c r="Q237" s="216">
        <v>0</v>
      </c>
    </row>
    <row r="238" spans="9:19">
      <c r="I238" s="208" t="s">
        <v>5168</v>
      </c>
      <c r="J238" s="227">
        <f>L238-L237-101268</f>
        <v>10034013</v>
      </c>
      <c r="K238" s="208" t="s">
        <v>5167</v>
      </c>
      <c r="L238" s="228">
        <v>984071117</v>
      </c>
      <c r="M238" s="228">
        <v>619527192</v>
      </c>
      <c r="N238" s="227">
        <f t="shared" si="23"/>
        <v>1603598309</v>
      </c>
      <c r="O238" s="227">
        <f t="shared" si="24"/>
        <v>6745326</v>
      </c>
      <c r="P238" s="227">
        <f>N238-N237-101268</f>
        <v>16779339</v>
      </c>
      <c r="Q238" s="216">
        <v>101268</v>
      </c>
    </row>
    <row r="239" spans="9:19">
      <c r="I239" s="256" t="s">
        <v>5169</v>
      </c>
      <c r="J239" s="92">
        <f>L239-L238-101000</f>
        <v>-5512506</v>
      </c>
      <c r="K239" s="256" t="s">
        <v>5170</v>
      </c>
      <c r="L239" s="257">
        <v>978659611</v>
      </c>
      <c r="M239" s="257">
        <v>617623197</v>
      </c>
      <c r="N239" s="92">
        <f t="shared" si="23"/>
        <v>1596282808</v>
      </c>
      <c r="O239" s="92">
        <f t="shared" si="24"/>
        <v>-1903995</v>
      </c>
      <c r="P239" s="92">
        <f>N239-N238-101000</f>
        <v>-7416501</v>
      </c>
      <c r="Q239" s="216">
        <v>101000</v>
      </c>
    </row>
    <row r="240" spans="9:19">
      <c r="I240" s="205"/>
      <c r="J240" s="111">
        <f t="shared" ref="J240:J252" si="26">L240-L239</f>
        <v>-3538077</v>
      </c>
      <c r="K240" s="205" t="s">
        <v>5171</v>
      </c>
      <c r="L240" s="82">
        <v>975121534</v>
      </c>
      <c r="M240" s="82">
        <v>616980448</v>
      </c>
      <c r="N240" s="111">
        <f t="shared" ref="N240:N252" si="27">L240+M240</f>
        <v>1592101982</v>
      </c>
      <c r="O240" s="111">
        <f t="shared" ref="O240:P246" si="28">M240-M239</f>
        <v>-642749</v>
      </c>
      <c r="P240" s="111">
        <f t="shared" si="28"/>
        <v>-4180826</v>
      </c>
      <c r="Q240" s="216">
        <v>0</v>
      </c>
    </row>
    <row r="241" spans="9:19">
      <c r="I241" s="205"/>
      <c r="J241" s="111">
        <f t="shared" si="26"/>
        <v>8213727</v>
      </c>
      <c r="K241" s="205" t="s">
        <v>5173</v>
      </c>
      <c r="L241" s="82">
        <v>983335261</v>
      </c>
      <c r="M241" s="82">
        <v>621742615</v>
      </c>
      <c r="N241" s="111">
        <f t="shared" si="27"/>
        <v>1605077876</v>
      </c>
      <c r="O241" s="111">
        <f t="shared" si="28"/>
        <v>4762167</v>
      </c>
      <c r="P241" s="111">
        <f t="shared" si="28"/>
        <v>12975894</v>
      </c>
      <c r="Q241" s="216">
        <v>0</v>
      </c>
    </row>
    <row r="242" spans="9:19">
      <c r="I242" s="205"/>
      <c r="J242" s="111">
        <f t="shared" si="26"/>
        <v>-102557</v>
      </c>
      <c r="K242" s="205" t="s">
        <v>980</v>
      </c>
      <c r="L242" s="82">
        <v>983232704</v>
      </c>
      <c r="M242" s="82">
        <v>621149949</v>
      </c>
      <c r="N242" s="111">
        <f t="shared" si="27"/>
        <v>1604382653</v>
      </c>
      <c r="O242" s="111">
        <f t="shared" si="28"/>
        <v>-592666</v>
      </c>
      <c r="P242" s="111">
        <f t="shared" si="28"/>
        <v>-695223</v>
      </c>
      <c r="Q242" s="216">
        <v>0</v>
      </c>
    </row>
    <row r="243" spans="9:19">
      <c r="I243" s="205"/>
      <c r="J243" s="111">
        <f t="shared" si="26"/>
        <v>27014</v>
      </c>
      <c r="K243" s="205" t="s">
        <v>5175</v>
      </c>
      <c r="L243" s="82">
        <v>983259718</v>
      </c>
      <c r="M243" s="82">
        <v>621468793</v>
      </c>
      <c r="N243" s="111">
        <f t="shared" si="27"/>
        <v>1604728511</v>
      </c>
      <c r="O243" s="111">
        <f t="shared" si="28"/>
        <v>318844</v>
      </c>
      <c r="P243" s="111">
        <f t="shared" si="28"/>
        <v>345858</v>
      </c>
      <c r="Q243" s="216">
        <v>0</v>
      </c>
    </row>
    <row r="244" spans="9:19">
      <c r="I244" s="205"/>
      <c r="J244" s="111">
        <f t="shared" si="26"/>
        <v>19769</v>
      </c>
      <c r="K244" s="205" t="s">
        <v>5176</v>
      </c>
      <c r="L244" s="82">
        <v>983279487</v>
      </c>
      <c r="M244" s="82">
        <v>620877319</v>
      </c>
      <c r="N244" s="111">
        <f t="shared" si="27"/>
        <v>1604156806</v>
      </c>
      <c r="O244" s="111">
        <f t="shared" si="28"/>
        <v>-591474</v>
      </c>
      <c r="P244" s="111">
        <f t="shared" si="28"/>
        <v>-571705</v>
      </c>
      <c r="Q244" s="216">
        <v>0</v>
      </c>
    </row>
    <row r="245" spans="9:19">
      <c r="I245" s="205"/>
      <c r="J245" s="111">
        <f t="shared" si="26"/>
        <v>15299717</v>
      </c>
      <c r="K245" s="205" t="s">
        <v>5177</v>
      </c>
      <c r="L245" s="82">
        <v>998579204</v>
      </c>
      <c r="M245" s="82">
        <v>629376264</v>
      </c>
      <c r="N245" s="111">
        <f t="shared" si="27"/>
        <v>1627955468</v>
      </c>
      <c r="O245" s="111">
        <f t="shared" si="28"/>
        <v>8498945</v>
      </c>
      <c r="P245" s="111">
        <f t="shared" si="28"/>
        <v>23798662</v>
      </c>
      <c r="Q245" s="216">
        <v>0</v>
      </c>
    </row>
    <row r="246" spans="9:19">
      <c r="I246" s="205"/>
      <c r="J246" s="111">
        <f t="shared" si="26"/>
        <v>8005</v>
      </c>
      <c r="K246" s="205" t="s">
        <v>5180</v>
      </c>
      <c r="L246" s="82">
        <v>998587209</v>
      </c>
      <c r="M246" s="82">
        <v>628989460</v>
      </c>
      <c r="N246" s="111">
        <f t="shared" si="27"/>
        <v>1627576669</v>
      </c>
      <c r="O246" s="111">
        <f t="shared" si="28"/>
        <v>-386804</v>
      </c>
      <c r="P246" s="111">
        <f t="shared" si="28"/>
        <v>-378799</v>
      </c>
      <c r="Q246" s="216">
        <v>0</v>
      </c>
    </row>
    <row r="247" spans="9:19">
      <c r="I247" s="187" t="s">
        <v>5182</v>
      </c>
      <c r="J247" s="186">
        <f t="shared" si="26"/>
        <v>57939414</v>
      </c>
      <c r="K247" s="187" t="s">
        <v>5181</v>
      </c>
      <c r="L247" s="220">
        <v>1056526623</v>
      </c>
      <c r="M247" s="220">
        <v>660656770</v>
      </c>
      <c r="N247" s="210">
        <f t="shared" si="27"/>
        <v>1717183393</v>
      </c>
      <c r="O247" s="186">
        <f>M247-M246+3020635</f>
        <v>34687945</v>
      </c>
      <c r="P247" s="186">
        <f>N247-N246+3020635</f>
        <v>92627359</v>
      </c>
      <c r="Q247" s="216">
        <v>-3020635</v>
      </c>
    </row>
    <row r="248" spans="9:19">
      <c r="I248" s="205"/>
      <c r="J248" s="111">
        <f t="shared" si="26"/>
        <v>8473377</v>
      </c>
      <c r="K248" s="205" t="s">
        <v>5183</v>
      </c>
      <c r="L248" s="82">
        <v>1065000000</v>
      </c>
      <c r="M248" s="82">
        <v>666000000</v>
      </c>
      <c r="N248" s="210">
        <f t="shared" si="27"/>
        <v>1731000000</v>
      </c>
      <c r="O248" s="111">
        <f t="shared" ref="O248:P252" si="29">M248-M247</f>
        <v>5343230</v>
      </c>
      <c r="P248" s="111">
        <f t="shared" si="29"/>
        <v>13816607</v>
      </c>
      <c r="Q248" s="216">
        <v>0</v>
      </c>
    </row>
    <row r="249" spans="9:19">
      <c r="I249" s="205"/>
      <c r="J249" s="111">
        <f t="shared" si="26"/>
        <v>10753986</v>
      </c>
      <c r="K249" s="205" t="s">
        <v>5184</v>
      </c>
      <c r="L249" s="82">
        <v>1075753986</v>
      </c>
      <c r="M249" s="82">
        <v>672067588</v>
      </c>
      <c r="N249" s="210">
        <f t="shared" si="27"/>
        <v>1747821574</v>
      </c>
      <c r="O249" s="111">
        <f t="shared" si="29"/>
        <v>6067588</v>
      </c>
      <c r="P249" s="111">
        <f t="shared" si="29"/>
        <v>16821574</v>
      </c>
      <c r="Q249" s="216">
        <v>0</v>
      </c>
      <c r="S249" t="s">
        <v>25</v>
      </c>
    </row>
    <row r="250" spans="9:19">
      <c r="I250" s="205"/>
      <c r="J250" s="111">
        <f t="shared" si="26"/>
        <v>15270785</v>
      </c>
      <c r="K250" s="205" t="s">
        <v>5185</v>
      </c>
      <c r="L250" s="82">
        <v>1091024771</v>
      </c>
      <c r="M250" s="82">
        <v>681049309</v>
      </c>
      <c r="N250" s="210">
        <f t="shared" si="27"/>
        <v>1772074080</v>
      </c>
      <c r="O250" s="111">
        <f t="shared" si="29"/>
        <v>8981721</v>
      </c>
      <c r="P250" s="111">
        <f t="shared" si="29"/>
        <v>24252506</v>
      </c>
      <c r="Q250" s="216">
        <v>0</v>
      </c>
    </row>
    <row r="251" spans="9:19">
      <c r="I251" s="205"/>
      <c r="J251" s="111">
        <f t="shared" si="26"/>
        <v>1705015</v>
      </c>
      <c r="K251" s="205" t="s">
        <v>5186</v>
      </c>
      <c r="L251" s="82">
        <v>1092729786</v>
      </c>
      <c r="M251" s="82">
        <v>682978385</v>
      </c>
      <c r="N251" s="210">
        <f t="shared" si="27"/>
        <v>1775708171</v>
      </c>
      <c r="O251" s="111">
        <f t="shared" si="29"/>
        <v>1929076</v>
      </c>
      <c r="P251" s="111">
        <f t="shared" si="29"/>
        <v>3634091</v>
      </c>
      <c r="Q251" s="216">
        <v>0</v>
      </c>
    </row>
    <row r="252" spans="9:19">
      <c r="I252" s="205"/>
      <c r="J252" s="111">
        <f t="shared" si="26"/>
        <v>14159318</v>
      </c>
      <c r="K252" s="205" t="s">
        <v>4492</v>
      </c>
      <c r="L252" s="82">
        <v>1106889104</v>
      </c>
      <c r="M252" s="82">
        <v>692405112</v>
      </c>
      <c r="N252" s="210">
        <f t="shared" si="27"/>
        <v>1799294216</v>
      </c>
      <c r="O252" s="111">
        <f t="shared" si="29"/>
        <v>9426727</v>
      </c>
      <c r="P252" s="111">
        <f t="shared" si="29"/>
        <v>23586045</v>
      </c>
      <c r="Q252" s="216">
        <v>0</v>
      </c>
    </row>
    <row r="253" spans="9:19">
      <c r="I253" s="205"/>
      <c r="J253" s="111">
        <f t="shared" ref="J253:J266" si="30">L253-L252</f>
        <v>6991706</v>
      </c>
      <c r="K253" s="205" t="s">
        <v>5187</v>
      </c>
      <c r="L253" s="82">
        <v>1113880810</v>
      </c>
      <c r="M253" s="82">
        <v>698734609</v>
      </c>
      <c r="N253" s="210">
        <f t="shared" ref="N253:N266" si="31">L253+M253</f>
        <v>1812615419</v>
      </c>
      <c r="O253" s="111">
        <f t="shared" ref="O253:O266" si="32">M253-M252</f>
        <v>6329497</v>
      </c>
      <c r="P253" s="111">
        <f t="shared" ref="P253:P266" si="33">N253-N252</f>
        <v>13321203</v>
      </c>
      <c r="Q253" s="216">
        <v>0</v>
      </c>
    </row>
    <row r="254" spans="9:19">
      <c r="I254" s="205"/>
      <c r="J254" s="111">
        <f t="shared" si="30"/>
        <v>35275510</v>
      </c>
      <c r="K254" s="205" t="s">
        <v>5188</v>
      </c>
      <c r="L254" s="82">
        <v>1149156320</v>
      </c>
      <c r="M254" s="82">
        <v>720722148</v>
      </c>
      <c r="N254" s="210">
        <f t="shared" si="31"/>
        <v>1869878468</v>
      </c>
      <c r="O254" s="111">
        <f t="shared" si="32"/>
        <v>21987539</v>
      </c>
      <c r="P254" s="111">
        <f t="shared" si="33"/>
        <v>57263049</v>
      </c>
      <c r="Q254" s="216">
        <v>0</v>
      </c>
    </row>
    <row r="255" spans="9:19">
      <c r="I255" s="205"/>
      <c r="J255" s="111">
        <f t="shared" si="30"/>
        <v>5790605</v>
      </c>
      <c r="K255" s="205" t="s">
        <v>5189</v>
      </c>
      <c r="L255" s="82">
        <v>1154946925</v>
      </c>
      <c r="M255" s="82">
        <v>724493233</v>
      </c>
      <c r="N255" s="210">
        <f t="shared" si="31"/>
        <v>1879440158</v>
      </c>
      <c r="O255" s="111">
        <f t="shared" si="32"/>
        <v>3771085</v>
      </c>
      <c r="P255" s="111">
        <f t="shared" si="33"/>
        <v>9561690</v>
      </c>
      <c r="Q255" s="216">
        <v>0</v>
      </c>
    </row>
    <row r="256" spans="9:19">
      <c r="I256" s="205" t="s">
        <v>5190</v>
      </c>
      <c r="J256" s="111">
        <f t="shared" si="30"/>
        <v>40761008</v>
      </c>
      <c r="K256" s="205" t="s">
        <v>5191</v>
      </c>
      <c r="L256" s="82">
        <v>1195707933</v>
      </c>
      <c r="M256" s="82">
        <v>764225161</v>
      </c>
      <c r="N256" s="210">
        <f t="shared" si="31"/>
        <v>1959933094</v>
      </c>
      <c r="O256" s="111">
        <f>M256-M255-18000000</f>
        <v>21731928</v>
      </c>
      <c r="P256" s="111">
        <f>N256-N255-18000000</f>
        <v>62492936</v>
      </c>
      <c r="Q256" s="216">
        <v>18000000</v>
      </c>
    </row>
    <row r="257" spans="9:19">
      <c r="I257" s="205"/>
      <c r="J257" s="111">
        <f t="shared" si="30"/>
        <v>8689599</v>
      </c>
      <c r="K257" s="205" t="s">
        <v>5193</v>
      </c>
      <c r="L257" s="82">
        <v>1204397532</v>
      </c>
      <c r="M257" s="82">
        <v>768290500</v>
      </c>
      <c r="N257" s="210">
        <f t="shared" si="31"/>
        <v>1972688032</v>
      </c>
      <c r="O257" s="111">
        <f t="shared" si="32"/>
        <v>4065339</v>
      </c>
      <c r="P257" s="111">
        <f t="shared" si="33"/>
        <v>12754938</v>
      </c>
      <c r="Q257" s="216">
        <v>0</v>
      </c>
    </row>
    <row r="258" spans="9:19">
      <c r="I258" s="187" t="s">
        <v>5196</v>
      </c>
      <c r="J258" s="186">
        <f>L258-L257+488602</f>
        <v>5275127</v>
      </c>
      <c r="K258" s="187" t="s">
        <v>5194</v>
      </c>
      <c r="L258" s="220">
        <v>1209184057</v>
      </c>
      <c r="M258" s="220">
        <v>771944660</v>
      </c>
      <c r="N258" s="210">
        <f t="shared" si="31"/>
        <v>1981128717</v>
      </c>
      <c r="O258" s="186">
        <f t="shared" si="32"/>
        <v>3654160</v>
      </c>
      <c r="P258" s="186">
        <f>N258-N257+488602</f>
        <v>8929287</v>
      </c>
      <c r="Q258" s="216">
        <v>-488602</v>
      </c>
    </row>
    <row r="259" spans="9:19">
      <c r="I259" s="205"/>
      <c r="J259" s="111">
        <f t="shared" si="30"/>
        <v>-1457235</v>
      </c>
      <c r="K259" s="205" t="s">
        <v>5195</v>
      </c>
      <c r="L259" s="82">
        <v>1207726822</v>
      </c>
      <c r="M259" s="82">
        <v>769784297</v>
      </c>
      <c r="N259" s="111">
        <f t="shared" si="31"/>
        <v>1977511119</v>
      </c>
      <c r="O259" s="111">
        <f t="shared" si="32"/>
        <v>-2160363</v>
      </c>
      <c r="P259" s="111">
        <f t="shared" si="33"/>
        <v>-3617598</v>
      </c>
      <c r="Q259" s="216">
        <v>0</v>
      </c>
      <c r="S259" t="s">
        <v>25</v>
      </c>
    </row>
    <row r="260" spans="9:19">
      <c r="I260" s="205"/>
      <c r="J260" s="111">
        <f t="shared" si="30"/>
        <v>8817225</v>
      </c>
      <c r="K260" s="205" t="s">
        <v>5198</v>
      </c>
      <c r="L260" s="82">
        <v>1216544047</v>
      </c>
      <c r="M260" s="82">
        <v>776626854</v>
      </c>
      <c r="N260" s="210">
        <f t="shared" si="31"/>
        <v>1993170901</v>
      </c>
      <c r="O260" s="111">
        <f t="shared" si="32"/>
        <v>6842557</v>
      </c>
      <c r="P260" s="111">
        <f t="shared" si="33"/>
        <v>15659782</v>
      </c>
      <c r="Q260" s="216">
        <v>0</v>
      </c>
    </row>
    <row r="261" spans="9:19">
      <c r="I261" s="205"/>
      <c r="J261" s="111">
        <f t="shared" si="30"/>
        <v>-36544047</v>
      </c>
      <c r="K261" s="205" t="s">
        <v>5203</v>
      </c>
      <c r="L261" s="82">
        <v>1180000000</v>
      </c>
      <c r="M261" s="82">
        <v>756000000</v>
      </c>
      <c r="N261" s="111">
        <f t="shared" si="31"/>
        <v>1936000000</v>
      </c>
      <c r="O261" s="111">
        <f t="shared" si="32"/>
        <v>-20626854</v>
      </c>
      <c r="P261" s="111">
        <f t="shared" si="33"/>
        <v>-57170901</v>
      </c>
      <c r="Q261" s="216">
        <v>0</v>
      </c>
    </row>
    <row r="262" spans="9:19">
      <c r="I262" s="205"/>
      <c r="J262" s="111">
        <f t="shared" si="30"/>
        <v>-26566965</v>
      </c>
      <c r="K262" s="205" t="s">
        <v>5209</v>
      </c>
      <c r="L262" s="82">
        <v>1153433035</v>
      </c>
      <c r="M262" s="82">
        <v>736240181</v>
      </c>
      <c r="N262" s="111">
        <f t="shared" si="31"/>
        <v>1889673216</v>
      </c>
      <c r="O262" s="111">
        <f t="shared" si="32"/>
        <v>-19759819</v>
      </c>
      <c r="P262" s="111">
        <f t="shared" si="33"/>
        <v>-46326784</v>
      </c>
      <c r="Q262" s="216">
        <v>0</v>
      </c>
    </row>
    <row r="263" spans="9:19">
      <c r="I263" s="208" t="s">
        <v>5211</v>
      </c>
      <c r="J263" s="227">
        <f>L263-L262-360000</f>
        <v>-33793035</v>
      </c>
      <c r="K263" s="208" t="s">
        <v>5210</v>
      </c>
      <c r="L263" s="228">
        <v>1120000000</v>
      </c>
      <c r="M263" s="228">
        <v>718000000</v>
      </c>
      <c r="N263" s="227">
        <f t="shared" si="31"/>
        <v>1838000000</v>
      </c>
      <c r="O263" s="227">
        <f t="shared" si="32"/>
        <v>-18240181</v>
      </c>
      <c r="P263" s="227">
        <f>N263-N262-360000</f>
        <v>-52033216</v>
      </c>
      <c r="Q263" s="216">
        <v>360000</v>
      </c>
      <c r="S263" t="s">
        <v>25</v>
      </c>
    </row>
    <row r="264" spans="9:19">
      <c r="I264" s="205"/>
      <c r="J264" s="111">
        <f t="shared" si="30"/>
        <v>-23994521</v>
      </c>
      <c r="K264" s="205" t="s">
        <v>5212</v>
      </c>
      <c r="L264" s="82">
        <v>1096005479</v>
      </c>
      <c r="M264" s="82">
        <v>699253755</v>
      </c>
      <c r="N264" s="111">
        <f t="shared" si="31"/>
        <v>1795259234</v>
      </c>
      <c r="O264" s="111">
        <f t="shared" si="32"/>
        <v>-18746245</v>
      </c>
      <c r="P264" s="111">
        <f t="shared" si="33"/>
        <v>-42740766</v>
      </c>
      <c r="Q264" s="216">
        <v>0</v>
      </c>
    </row>
    <row r="265" spans="9:19">
      <c r="I265" s="205"/>
      <c r="J265" s="111">
        <f t="shared" si="30"/>
        <v>20648865</v>
      </c>
      <c r="K265" s="205" t="s">
        <v>5215</v>
      </c>
      <c r="L265" s="82">
        <v>1116654344</v>
      </c>
      <c r="M265" s="82">
        <v>712202921</v>
      </c>
      <c r="N265" s="111">
        <f t="shared" si="31"/>
        <v>1828857265</v>
      </c>
      <c r="O265" s="111">
        <f t="shared" si="32"/>
        <v>12949166</v>
      </c>
      <c r="P265" s="111">
        <f t="shared" si="33"/>
        <v>33598031</v>
      </c>
      <c r="Q265" s="216">
        <v>0</v>
      </c>
    </row>
    <row r="266" spans="9:19">
      <c r="I266" s="205"/>
      <c r="J266" s="111">
        <f t="shared" si="30"/>
        <v>54939743</v>
      </c>
      <c r="K266" s="205" t="s">
        <v>5216</v>
      </c>
      <c r="L266" s="82">
        <v>1171594087</v>
      </c>
      <c r="M266" s="82">
        <v>747327095</v>
      </c>
      <c r="N266" s="111">
        <f t="shared" si="31"/>
        <v>1918921182</v>
      </c>
      <c r="O266" s="111">
        <f t="shared" si="32"/>
        <v>35124174</v>
      </c>
      <c r="P266" s="111">
        <f t="shared" si="33"/>
        <v>90063917</v>
      </c>
      <c r="Q266" s="216">
        <v>0</v>
      </c>
      <c r="S266" t="s">
        <v>25</v>
      </c>
    </row>
    <row r="267" spans="9:19">
      <c r="I267" s="205"/>
      <c r="J267" s="111">
        <f t="shared" ref="J267:J281" si="34">L267-L266</f>
        <v>52738541</v>
      </c>
      <c r="K267" s="205" t="s">
        <v>5217</v>
      </c>
      <c r="L267" s="82">
        <v>1224332628</v>
      </c>
      <c r="M267" s="82">
        <v>781297921</v>
      </c>
      <c r="N267" s="210">
        <f t="shared" ref="N267:N281" si="35">L267+M267</f>
        <v>2005630549</v>
      </c>
      <c r="O267" s="111">
        <f t="shared" ref="O267:O281" si="36">M267-M266</f>
        <v>33970826</v>
      </c>
      <c r="P267" s="111">
        <f>N267-N266</f>
        <v>86709367</v>
      </c>
      <c r="Q267" s="216">
        <v>0</v>
      </c>
    </row>
    <row r="268" spans="9:19">
      <c r="I268" s="187" t="s">
        <v>5220</v>
      </c>
      <c r="J268" s="186">
        <f>L268-L267+3600000</f>
        <v>6784521</v>
      </c>
      <c r="K268" s="187" t="s">
        <v>5218</v>
      </c>
      <c r="L268" s="220">
        <v>1227517149</v>
      </c>
      <c r="M268" s="220">
        <v>781946723</v>
      </c>
      <c r="N268" s="210">
        <f>L268+M268</f>
        <v>2009463872</v>
      </c>
      <c r="O268" s="186">
        <f t="shared" si="36"/>
        <v>648802</v>
      </c>
      <c r="P268" s="186">
        <f>N268-N267+3600000</f>
        <v>7433323</v>
      </c>
      <c r="Q268" s="216">
        <v>-3600000</v>
      </c>
    </row>
    <row r="269" spans="9:19">
      <c r="I269" s="208" t="s">
        <v>5222</v>
      </c>
      <c r="J269" s="227">
        <f t="shared" si="34"/>
        <v>8668842</v>
      </c>
      <c r="K269" s="208" t="s">
        <v>5219</v>
      </c>
      <c r="L269" s="228">
        <v>1236185991</v>
      </c>
      <c r="M269" s="228">
        <v>790935464</v>
      </c>
      <c r="N269" s="210">
        <f t="shared" si="35"/>
        <v>2027121455</v>
      </c>
      <c r="O269" s="227">
        <f>M269-M268-2000000</f>
        <v>6988741</v>
      </c>
      <c r="P269" s="227">
        <f>N269-N268-2000000</f>
        <v>15657583</v>
      </c>
      <c r="Q269" s="216">
        <v>2000000</v>
      </c>
    </row>
    <row r="270" spans="9:19">
      <c r="I270" s="205"/>
      <c r="J270" s="111">
        <f t="shared" si="34"/>
        <v>59400386</v>
      </c>
      <c r="K270" s="205" t="s">
        <v>5224</v>
      </c>
      <c r="L270" s="82">
        <v>1295586377</v>
      </c>
      <c r="M270" s="82">
        <v>830602955</v>
      </c>
      <c r="N270" s="210">
        <f t="shared" si="35"/>
        <v>2126189332</v>
      </c>
      <c r="O270" s="111">
        <f t="shared" si="36"/>
        <v>39667491</v>
      </c>
      <c r="P270" s="111">
        <f>N270-N269</f>
        <v>99067877</v>
      </c>
      <c r="Q270" s="216">
        <v>0</v>
      </c>
    </row>
    <row r="271" spans="9:19">
      <c r="I271" s="187" t="s">
        <v>5226</v>
      </c>
      <c r="J271" s="186">
        <f>L271-L270+1000000</f>
        <v>21062163</v>
      </c>
      <c r="K271" s="187" t="s">
        <v>5225</v>
      </c>
      <c r="L271" s="220">
        <v>1315648540</v>
      </c>
      <c r="M271" s="220">
        <v>837889920</v>
      </c>
      <c r="N271" s="210">
        <f t="shared" si="35"/>
        <v>2153538460</v>
      </c>
      <c r="O271" s="186">
        <f t="shared" si="36"/>
        <v>7286965</v>
      </c>
      <c r="P271" s="186">
        <f>N271-N270+1000000</f>
        <v>28349128</v>
      </c>
      <c r="Q271" s="216">
        <v>-1000000</v>
      </c>
    </row>
    <row r="272" spans="9:19">
      <c r="I272" s="205"/>
      <c r="J272" s="111">
        <f t="shared" si="34"/>
        <v>-25648540</v>
      </c>
      <c r="K272" s="205" t="s">
        <v>5228</v>
      </c>
      <c r="L272" s="82">
        <v>1290000000</v>
      </c>
      <c r="M272" s="82">
        <v>830000000</v>
      </c>
      <c r="N272" s="111">
        <f t="shared" si="35"/>
        <v>2120000000</v>
      </c>
      <c r="O272" s="111">
        <f t="shared" si="36"/>
        <v>-7889920</v>
      </c>
      <c r="P272" s="111">
        <f>N272-N271</f>
        <v>-33538460</v>
      </c>
    </row>
    <row r="273" spans="4:23">
      <c r="I273" s="205"/>
      <c r="J273" s="111">
        <f t="shared" si="34"/>
        <v>5173477</v>
      </c>
      <c r="K273" s="205" t="s">
        <v>5231</v>
      </c>
      <c r="L273" s="82">
        <v>1295173477</v>
      </c>
      <c r="M273" s="82">
        <v>832119130</v>
      </c>
      <c r="N273" s="111">
        <f t="shared" si="35"/>
        <v>2127292607</v>
      </c>
      <c r="O273" s="111">
        <f t="shared" si="36"/>
        <v>2119130</v>
      </c>
      <c r="P273" s="111">
        <f>N273-N272</f>
        <v>7292607</v>
      </c>
    </row>
    <row r="274" spans="4:23">
      <c r="D274" t="s">
        <v>25</v>
      </c>
      <c r="I274" s="208" t="s">
        <v>5211</v>
      </c>
      <c r="J274" s="227">
        <f>L274-L273-360000</f>
        <v>-3379409</v>
      </c>
      <c r="K274" s="208" t="s">
        <v>5232</v>
      </c>
      <c r="L274" s="228">
        <v>1292154068</v>
      </c>
      <c r="M274" s="228">
        <v>833033746</v>
      </c>
      <c r="N274" s="227">
        <f t="shared" si="35"/>
        <v>2125187814</v>
      </c>
      <c r="O274" s="227">
        <f t="shared" si="36"/>
        <v>914616</v>
      </c>
      <c r="P274" s="227">
        <f>N274-N273-360000</f>
        <v>-2464793</v>
      </c>
      <c r="Q274" s="216">
        <v>360000</v>
      </c>
    </row>
    <row r="275" spans="4:23">
      <c r="I275" s="208" t="s">
        <v>5236</v>
      </c>
      <c r="J275" s="227">
        <f>L275-L274-2000000</f>
        <v>-22946012</v>
      </c>
      <c r="K275" s="208" t="s">
        <v>5235</v>
      </c>
      <c r="L275" s="228">
        <v>1271208056</v>
      </c>
      <c r="M275" s="228">
        <v>825161254</v>
      </c>
      <c r="N275" s="227">
        <f t="shared" si="35"/>
        <v>2096369310</v>
      </c>
      <c r="O275" s="227">
        <f t="shared" si="36"/>
        <v>-7872492</v>
      </c>
      <c r="P275" s="227">
        <f>N275-N274-2000000</f>
        <v>-30818504</v>
      </c>
      <c r="Q275" s="216">
        <v>2000000</v>
      </c>
    </row>
    <row r="276" spans="4:23">
      <c r="I276" s="208" t="s">
        <v>5238</v>
      </c>
      <c r="J276" s="227">
        <f>L276-L275-15300000</f>
        <v>32802006</v>
      </c>
      <c r="K276" s="208" t="s">
        <v>5237</v>
      </c>
      <c r="L276" s="228">
        <v>1319310062</v>
      </c>
      <c r="M276" s="228">
        <v>846171439</v>
      </c>
      <c r="N276" s="227">
        <f t="shared" si="35"/>
        <v>2165481501</v>
      </c>
      <c r="O276" s="227">
        <f>M276-M275-200000</f>
        <v>20810185</v>
      </c>
      <c r="P276" s="227">
        <f>N276-N275-15500000</f>
        <v>53612191</v>
      </c>
      <c r="Q276" s="216">
        <v>15500000</v>
      </c>
    </row>
    <row r="277" spans="4:23">
      <c r="I277" s="208" t="s">
        <v>5241</v>
      </c>
      <c r="J277" s="227">
        <f>L277-L276-3000000</f>
        <v>12429762</v>
      </c>
      <c r="K277" s="208" t="s">
        <v>5240</v>
      </c>
      <c r="L277" s="228">
        <v>1334739824</v>
      </c>
      <c r="M277" s="228">
        <v>848815156</v>
      </c>
      <c r="N277" s="210">
        <f t="shared" si="35"/>
        <v>2183554980</v>
      </c>
      <c r="O277" s="227">
        <f>M277-M276-50000</f>
        <v>2593717</v>
      </c>
      <c r="P277" s="227">
        <f>N277-N276-3050000</f>
        <v>15023479</v>
      </c>
      <c r="Q277" s="216">
        <v>3050000</v>
      </c>
    </row>
    <row r="278" spans="4:23">
      <c r="I278" s="208" t="s">
        <v>5243</v>
      </c>
      <c r="J278" s="227">
        <f>L278-L277-1680000</f>
        <v>-15903030</v>
      </c>
      <c r="K278" s="208" t="s">
        <v>5242</v>
      </c>
      <c r="L278" s="228">
        <v>1320516794</v>
      </c>
      <c r="M278" s="228">
        <v>834312363</v>
      </c>
      <c r="N278" s="227">
        <f t="shared" si="35"/>
        <v>2154829157</v>
      </c>
      <c r="O278" s="227">
        <f>M278-M277-100000</f>
        <v>-14602793</v>
      </c>
      <c r="P278" s="227">
        <f>N278-N277-1600000</f>
        <v>-30325823</v>
      </c>
      <c r="Q278" s="216">
        <v>1780000</v>
      </c>
      <c r="S278" t="s">
        <v>25</v>
      </c>
    </row>
    <row r="279" spans="4:23">
      <c r="I279" s="208" t="s">
        <v>5245</v>
      </c>
      <c r="J279" s="227">
        <f>L279-L278-30000000</f>
        <v>3387493</v>
      </c>
      <c r="K279" s="208" t="s">
        <v>5244</v>
      </c>
      <c r="L279" s="228">
        <v>1353904287</v>
      </c>
      <c r="M279" s="228">
        <v>836074409</v>
      </c>
      <c r="N279" s="227">
        <f t="shared" si="35"/>
        <v>2189978696</v>
      </c>
      <c r="O279" s="227">
        <f t="shared" si="36"/>
        <v>1762046</v>
      </c>
      <c r="P279" s="227">
        <f>N279-N278-30000000</f>
        <v>5149539</v>
      </c>
      <c r="Q279" s="216">
        <v>30000000</v>
      </c>
      <c r="S279" t="s">
        <v>25</v>
      </c>
    </row>
    <row r="280" spans="4:23">
      <c r="I280" s="205"/>
      <c r="J280" s="111">
        <f t="shared" si="34"/>
        <v>21498999</v>
      </c>
      <c r="K280" s="205" t="s">
        <v>981</v>
      </c>
      <c r="L280" s="82">
        <v>1375403286</v>
      </c>
      <c r="M280" s="82">
        <v>844014315</v>
      </c>
      <c r="N280" s="210">
        <f t="shared" si="35"/>
        <v>2219417601</v>
      </c>
      <c r="O280" s="111">
        <f t="shared" si="36"/>
        <v>7939906</v>
      </c>
      <c r="P280" s="111">
        <f>N280-N279</f>
        <v>29438905</v>
      </c>
      <c r="Q280" s="216">
        <v>0</v>
      </c>
    </row>
    <row r="281" spans="4:23">
      <c r="G281" s="72" t="s">
        <v>25</v>
      </c>
      <c r="I281" s="205"/>
      <c r="J281" s="111">
        <f t="shared" si="34"/>
        <v>4332272</v>
      </c>
      <c r="K281" s="205" t="s">
        <v>5250</v>
      </c>
      <c r="L281" s="82">
        <v>1379735558</v>
      </c>
      <c r="M281" s="82">
        <v>848557580</v>
      </c>
      <c r="N281" s="210">
        <f t="shared" si="35"/>
        <v>2228293138</v>
      </c>
      <c r="O281" s="111">
        <f t="shared" si="36"/>
        <v>4543265</v>
      </c>
      <c r="P281" s="111">
        <f>N281-N280</f>
        <v>8875537</v>
      </c>
      <c r="Q281" s="216">
        <v>0</v>
      </c>
    </row>
    <row r="282" spans="4:23">
      <c r="I282" s="205"/>
      <c r="J282" s="111">
        <f t="shared" ref="J282:J415" si="37">L282-L281</f>
        <v>29783485</v>
      </c>
      <c r="K282" s="205" t="s">
        <v>5251</v>
      </c>
      <c r="L282" s="82">
        <v>1409519043</v>
      </c>
      <c r="M282" s="82">
        <v>865379346</v>
      </c>
      <c r="N282" s="210">
        <f t="shared" ref="N282:N309" si="38">L282+M282</f>
        <v>2274898389</v>
      </c>
      <c r="O282" s="111">
        <f t="shared" ref="O282:O309" si="39">M282-M281</f>
        <v>16821766</v>
      </c>
      <c r="P282" s="111">
        <f t="shared" ref="P282:P309" si="40">N282-N281</f>
        <v>46605251</v>
      </c>
      <c r="Q282" s="216">
        <v>0</v>
      </c>
    </row>
    <row r="283" spans="4:23">
      <c r="I283" s="205"/>
      <c r="J283" s="111">
        <f t="shared" si="37"/>
        <v>46239300</v>
      </c>
      <c r="K283" s="205" t="s">
        <v>5254</v>
      </c>
      <c r="L283" s="82">
        <v>1455758343</v>
      </c>
      <c r="M283" s="82">
        <v>892393185</v>
      </c>
      <c r="N283" s="210">
        <f t="shared" si="38"/>
        <v>2348151528</v>
      </c>
      <c r="O283" s="111">
        <f t="shared" si="39"/>
        <v>27013839</v>
      </c>
      <c r="P283" s="111">
        <f t="shared" si="40"/>
        <v>73253139</v>
      </c>
      <c r="Q283" s="216">
        <v>0</v>
      </c>
      <c r="W283" t="s">
        <v>25</v>
      </c>
    </row>
    <row r="284" spans="4:23">
      <c r="I284" s="205"/>
      <c r="J284" s="111">
        <f t="shared" si="37"/>
        <v>17681036</v>
      </c>
      <c r="K284" s="205" t="s">
        <v>5257</v>
      </c>
      <c r="L284" s="82">
        <v>1473439379</v>
      </c>
      <c r="M284" s="82">
        <v>906774030</v>
      </c>
      <c r="N284" s="210">
        <f t="shared" si="38"/>
        <v>2380213409</v>
      </c>
      <c r="O284" s="111">
        <f t="shared" si="39"/>
        <v>14380845</v>
      </c>
      <c r="P284" s="111">
        <f t="shared" si="40"/>
        <v>32061881</v>
      </c>
      <c r="Q284" s="216">
        <v>0</v>
      </c>
    </row>
    <row r="285" spans="4:23">
      <c r="I285" s="187" t="s">
        <v>5260</v>
      </c>
      <c r="J285" s="186">
        <f t="shared" si="37"/>
        <v>4331396</v>
      </c>
      <c r="K285" s="187" t="s">
        <v>5258</v>
      </c>
      <c r="L285" s="220">
        <v>1477770775</v>
      </c>
      <c r="M285" s="220">
        <v>915475851</v>
      </c>
      <c r="N285" s="210">
        <f t="shared" si="38"/>
        <v>2393246626</v>
      </c>
      <c r="O285" s="186">
        <f>M285-M284+550000</f>
        <v>9251821</v>
      </c>
      <c r="P285" s="186">
        <f>N285-N284+550000</f>
        <v>13583217</v>
      </c>
      <c r="Q285" s="216">
        <v>-550000</v>
      </c>
    </row>
    <row r="286" spans="4:23">
      <c r="I286" s="187" t="s">
        <v>5264</v>
      </c>
      <c r="J286" s="186">
        <f t="shared" si="37"/>
        <v>39081054</v>
      </c>
      <c r="K286" s="187" t="s">
        <v>5262</v>
      </c>
      <c r="L286" s="220">
        <v>1516851829</v>
      </c>
      <c r="M286" s="220">
        <v>905126712</v>
      </c>
      <c r="N286" s="210">
        <f t="shared" si="38"/>
        <v>2421978541</v>
      </c>
      <c r="O286" s="186">
        <f>M286-M285+29686490</f>
        <v>19337351</v>
      </c>
      <c r="P286" s="186">
        <f>N286-N285+29686490</f>
        <v>58418405</v>
      </c>
      <c r="Q286" s="216">
        <v>-29686490</v>
      </c>
    </row>
    <row r="287" spans="4:23">
      <c r="I287" s="205"/>
      <c r="J287" s="111">
        <f t="shared" si="37"/>
        <v>43584276</v>
      </c>
      <c r="K287" s="205" t="s">
        <v>5263</v>
      </c>
      <c r="L287" s="82">
        <v>1560436105</v>
      </c>
      <c r="M287" s="82">
        <v>940791901</v>
      </c>
      <c r="N287" s="210">
        <f t="shared" si="38"/>
        <v>2501228006</v>
      </c>
      <c r="O287" s="111">
        <f t="shared" si="39"/>
        <v>35665189</v>
      </c>
      <c r="P287" s="111">
        <f t="shared" si="40"/>
        <v>79249465</v>
      </c>
      <c r="Q287" s="216">
        <v>0</v>
      </c>
    </row>
    <row r="288" spans="4:23">
      <c r="I288" s="187" t="s">
        <v>5272</v>
      </c>
      <c r="J288" s="186">
        <f t="shared" si="37"/>
        <v>83455296</v>
      </c>
      <c r="K288" s="187" t="s">
        <v>5271</v>
      </c>
      <c r="L288" s="220">
        <v>1643891401</v>
      </c>
      <c r="M288" s="220">
        <v>982283411</v>
      </c>
      <c r="N288" s="210">
        <f t="shared" si="38"/>
        <v>2626174812</v>
      </c>
      <c r="O288" s="186">
        <f>M288-M287+9000000</f>
        <v>50491510</v>
      </c>
      <c r="P288" s="186">
        <f>N288-N287+9000000</f>
        <v>133946806</v>
      </c>
      <c r="Q288" s="216">
        <v>-9000000</v>
      </c>
      <c r="V288" t="s">
        <v>25</v>
      </c>
    </row>
    <row r="289" spans="9:21">
      <c r="I289" s="205"/>
      <c r="J289" s="111">
        <f t="shared" si="37"/>
        <v>-564040</v>
      </c>
      <c r="K289" s="205" t="s">
        <v>5274</v>
      </c>
      <c r="L289" s="82">
        <v>1643327361</v>
      </c>
      <c r="M289" s="82">
        <v>994154099</v>
      </c>
      <c r="N289" s="210">
        <f t="shared" si="38"/>
        <v>2637481460</v>
      </c>
      <c r="O289" s="111">
        <f t="shared" si="39"/>
        <v>11870688</v>
      </c>
      <c r="P289" s="111">
        <f t="shared" si="40"/>
        <v>11306648</v>
      </c>
      <c r="Q289" s="216">
        <v>0</v>
      </c>
    </row>
    <row r="290" spans="9:21">
      <c r="I290" s="205"/>
      <c r="J290" s="111">
        <f t="shared" si="37"/>
        <v>36636239</v>
      </c>
      <c r="K290" s="205" t="s">
        <v>5278</v>
      </c>
      <c r="L290" s="82">
        <v>1679963600</v>
      </c>
      <c r="M290" s="82">
        <v>1007339950</v>
      </c>
      <c r="N290" s="210">
        <f t="shared" si="38"/>
        <v>2687303550</v>
      </c>
      <c r="O290" s="111">
        <f>M290-M289</f>
        <v>13185851</v>
      </c>
      <c r="P290" s="111">
        <f t="shared" si="40"/>
        <v>49822090</v>
      </c>
      <c r="Q290" s="216">
        <v>0</v>
      </c>
    </row>
    <row r="291" spans="9:21">
      <c r="I291" s="205"/>
      <c r="J291" s="111">
        <f t="shared" si="37"/>
        <v>53600320</v>
      </c>
      <c r="K291" s="205" t="s">
        <v>5283</v>
      </c>
      <c r="L291" s="82">
        <v>1733563920</v>
      </c>
      <c r="M291" s="82">
        <v>1028479912</v>
      </c>
      <c r="N291" s="210">
        <f t="shared" si="38"/>
        <v>2762043832</v>
      </c>
      <c r="O291" s="111">
        <f t="shared" si="39"/>
        <v>21139962</v>
      </c>
      <c r="P291" s="111">
        <f t="shared" si="40"/>
        <v>74740282</v>
      </c>
      <c r="Q291" s="216">
        <v>0</v>
      </c>
    </row>
    <row r="292" spans="9:21">
      <c r="I292" s="205"/>
      <c r="J292" s="111">
        <f t="shared" si="37"/>
        <v>16436080</v>
      </c>
      <c r="K292" s="205" t="s">
        <v>5292</v>
      </c>
      <c r="L292" s="82">
        <v>1750000000</v>
      </c>
      <c r="M292" s="82">
        <v>1035000000</v>
      </c>
      <c r="N292" s="210">
        <f t="shared" si="38"/>
        <v>2785000000</v>
      </c>
      <c r="O292" s="111">
        <f t="shared" si="39"/>
        <v>6520088</v>
      </c>
      <c r="P292" s="111">
        <f t="shared" si="40"/>
        <v>22956168</v>
      </c>
      <c r="Q292" s="216">
        <v>0</v>
      </c>
      <c r="U292" t="s">
        <v>25</v>
      </c>
    </row>
    <row r="293" spans="9:21">
      <c r="I293" s="205"/>
      <c r="J293" s="111">
        <f t="shared" si="37"/>
        <v>10000000</v>
      </c>
      <c r="K293" s="205" t="s">
        <v>5315</v>
      </c>
      <c r="L293" s="82">
        <v>1760000000</v>
      </c>
      <c r="M293" s="82">
        <v>1045000000</v>
      </c>
      <c r="N293" s="210">
        <f t="shared" si="38"/>
        <v>2805000000</v>
      </c>
      <c r="O293" s="111">
        <f t="shared" si="39"/>
        <v>10000000</v>
      </c>
      <c r="P293" s="111">
        <f t="shared" si="40"/>
        <v>20000000</v>
      </c>
      <c r="Q293" s="216">
        <v>0</v>
      </c>
    </row>
    <row r="294" spans="9:21">
      <c r="I294" s="205"/>
      <c r="J294" s="111">
        <f t="shared" si="37"/>
        <v>15456973</v>
      </c>
      <c r="K294" s="205" t="s">
        <v>5314</v>
      </c>
      <c r="L294" s="82">
        <v>1775456973</v>
      </c>
      <c r="M294" s="82">
        <v>1056375788</v>
      </c>
      <c r="N294" s="210">
        <f t="shared" si="38"/>
        <v>2831832761</v>
      </c>
      <c r="O294" s="111">
        <f t="shared" si="39"/>
        <v>11375788</v>
      </c>
      <c r="P294" s="111">
        <f t="shared" si="40"/>
        <v>26832761</v>
      </c>
      <c r="Q294" s="216">
        <v>0</v>
      </c>
    </row>
    <row r="295" spans="9:21">
      <c r="I295" s="205" t="s">
        <v>5320</v>
      </c>
      <c r="J295" s="111">
        <f>L295-L294-3000000</f>
        <v>19422686</v>
      </c>
      <c r="K295" s="205" t="s">
        <v>5318</v>
      </c>
      <c r="L295" s="82">
        <v>1797879659</v>
      </c>
      <c r="M295" s="82">
        <v>1054864328</v>
      </c>
      <c r="N295" s="210">
        <f t="shared" si="38"/>
        <v>2852743987</v>
      </c>
      <c r="O295" s="111">
        <f t="shared" si="39"/>
        <v>-1511460</v>
      </c>
      <c r="P295" s="111">
        <f>N295-N294-3000000</f>
        <v>17911226</v>
      </c>
      <c r="Q295" s="216">
        <v>3000000</v>
      </c>
    </row>
    <row r="296" spans="9:21">
      <c r="I296" s="208" t="s">
        <v>5321</v>
      </c>
      <c r="J296" s="227">
        <f>L296-L295-7000000</f>
        <v>-47124934</v>
      </c>
      <c r="K296" s="208" t="s">
        <v>5319</v>
      </c>
      <c r="L296" s="228">
        <v>1757754725</v>
      </c>
      <c r="M296" s="228">
        <v>1037677810</v>
      </c>
      <c r="N296" s="227">
        <f t="shared" si="38"/>
        <v>2795432535</v>
      </c>
      <c r="O296" s="227">
        <f>M296-M295+4190000</f>
        <v>-12996518</v>
      </c>
      <c r="P296" s="227">
        <f>N296-N295+4190000-7000000</f>
        <v>-60121452</v>
      </c>
      <c r="Q296" s="216">
        <v>2810000</v>
      </c>
    </row>
    <row r="297" spans="9:21">
      <c r="I297" s="208" t="s">
        <v>5329</v>
      </c>
      <c r="J297" s="227">
        <f t="shared" si="37"/>
        <v>-53501669</v>
      </c>
      <c r="K297" s="208" t="s">
        <v>5323</v>
      </c>
      <c r="L297" s="228">
        <v>1704253056</v>
      </c>
      <c r="M297" s="228">
        <v>973497834</v>
      </c>
      <c r="N297" s="227">
        <f t="shared" si="38"/>
        <v>2677750890</v>
      </c>
      <c r="O297" s="227">
        <f>M297-M296+26000000</f>
        <v>-38179976</v>
      </c>
      <c r="P297" s="227">
        <f>N297-N296+26000000</f>
        <v>-91681645</v>
      </c>
      <c r="Q297" s="216">
        <v>-26000000</v>
      </c>
    </row>
    <row r="298" spans="9:21">
      <c r="I298" s="208" t="s">
        <v>5331</v>
      </c>
      <c r="J298" s="227">
        <f>L298-L297-8800000</f>
        <v>26691445</v>
      </c>
      <c r="K298" s="208" t="s">
        <v>5327</v>
      </c>
      <c r="L298" s="228">
        <v>1739744501</v>
      </c>
      <c r="M298" s="228">
        <v>914540569</v>
      </c>
      <c r="N298" s="227">
        <f t="shared" si="38"/>
        <v>2654285070</v>
      </c>
      <c r="O298" s="227">
        <f>M298-M297+81800000</f>
        <v>22842735</v>
      </c>
      <c r="P298" s="227">
        <f>N298-N297+73000000</f>
        <v>49534180</v>
      </c>
      <c r="Q298" s="216">
        <v>-73000000</v>
      </c>
    </row>
    <row r="299" spans="9:21">
      <c r="I299" s="208" t="s">
        <v>5334</v>
      </c>
      <c r="J299" s="227">
        <f t="shared" si="37"/>
        <v>32696702</v>
      </c>
      <c r="K299" s="208" t="s">
        <v>5328</v>
      </c>
      <c r="L299" s="228">
        <v>1772441203</v>
      </c>
      <c r="M299" s="228">
        <v>900025831</v>
      </c>
      <c r="N299" s="227">
        <f t="shared" si="38"/>
        <v>2672467034</v>
      </c>
      <c r="O299" s="227">
        <f>M299-M298+34000000</f>
        <v>19485262</v>
      </c>
      <c r="P299" s="227">
        <f>N299-N298+34000000</f>
        <v>52181964</v>
      </c>
      <c r="Q299" s="216">
        <v>-34000000</v>
      </c>
    </row>
    <row r="300" spans="9:21">
      <c r="I300" s="187" t="s">
        <v>5336</v>
      </c>
      <c r="J300" s="186">
        <f>L300-L299-40000000</f>
        <v>74215198</v>
      </c>
      <c r="K300" s="187" t="s">
        <v>5332</v>
      </c>
      <c r="L300" s="220">
        <v>1886656401</v>
      </c>
      <c r="M300" s="220">
        <v>937495623</v>
      </c>
      <c r="N300" s="210">
        <f t="shared" si="38"/>
        <v>2824152024</v>
      </c>
      <c r="O300" s="186">
        <f t="shared" si="39"/>
        <v>37469792</v>
      </c>
      <c r="P300" s="186">
        <f>N300-N299-40000000</f>
        <v>111684990</v>
      </c>
      <c r="Q300" s="216">
        <v>40000000</v>
      </c>
      <c r="S300" t="s">
        <v>25</v>
      </c>
      <c r="T300" t="s">
        <v>25</v>
      </c>
    </row>
    <row r="301" spans="9:21">
      <c r="I301" s="187" t="s">
        <v>5148</v>
      </c>
      <c r="J301" s="186">
        <f t="shared" si="37"/>
        <v>39912599</v>
      </c>
      <c r="K301" s="187" t="s">
        <v>5333</v>
      </c>
      <c r="L301" s="220">
        <v>1926569000</v>
      </c>
      <c r="M301" s="220">
        <v>959442000</v>
      </c>
      <c r="N301" s="210">
        <f t="shared" si="38"/>
        <v>2886011000</v>
      </c>
      <c r="O301" s="186">
        <f>M301-M300-300000</f>
        <v>21646377</v>
      </c>
      <c r="P301" s="186">
        <f>N301-N300-300000</f>
        <v>61558976</v>
      </c>
      <c r="Q301" s="216">
        <v>300000</v>
      </c>
    </row>
    <row r="302" spans="9:21">
      <c r="I302" s="187" t="s">
        <v>5342</v>
      </c>
      <c r="J302" s="186">
        <f t="shared" si="37"/>
        <v>-55865388</v>
      </c>
      <c r="K302" s="187" t="s">
        <v>5341</v>
      </c>
      <c r="L302" s="220">
        <v>1870703612</v>
      </c>
      <c r="M302" s="220">
        <v>925667252</v>
      </c>
      <c r="N302" s="186">
        <f t="shared" si="38"/>
        <v>2796370864</v>
      </c>
      <c r="O302" s="186">
        <f>M302-M301-1000000</f>
        <v>-34774748</v>
      </c>
      <c r="P302" s="186">
        <f>N302-N301-1000000</f>
        <v>-90640136</v>
      </c>
      <c r="Q302" s="216">
        <v>1000000</v>
      </c>
    </row>
    <row r="303" spans="9:21">
      <c r="I303" s="205"/>
      <c r="J303" s="111">
        <f t="shared" si="37"/>
        <v>-97273791</v>
      </c>
      <c r="K303" s="205" t="s">
        <v>5344</v>
      </c>
      <c r="L303" s="82">
        <v>1773429821</v>
      </c>
      <c r="M303" s="82">
        <v>878782830</v>
      </c>
      <c r="N303" s="111">
        <f t="shared" si="38"/>
        <v>2652212651</v>
      </c>
      <c r="O303" s="111">
        <f t="shared" si="39"/>
        <v>-46884422</v>
      </c>
      <c r="P303" s="111">
        <f t="shared" si="40"/>
        <v>-144158213</v>
      </c>
      <c r="Q303" s="216">
        <v>0</v>
      </c>
    </row>
    <row r="304" spans="9:21">
      <c r="I304" s="205" t="s">
        <v>25</v>
      </c>
      <c r="J304" s="111">
        <f t="shared" si="37"/>
        <v>-429821</v>
      </c>
      <c r="K304" s="205" t="s">
        <v>5346</v>
      </c>
      <c r="L304" s="82">
        <v>1773000000</v>
      </c>
      <c r="M304" s="82">
        <v>879000000</v>
      </c>
      <c r="N304" s="111">
        <f t="shared" si="38"/>
        <v>2652000000</v>
      </c>
      <c r="O304" s="111">
        <f t="shared" si="39"/>
        <v>217170</v>
      </c>
      <c r="P304" s="111">
        <f t="shared" si="40"/>
        <v>-212651</v>
      </c>
      <c r="Q304" s="216">
        <v>0</v>
      </c>
    </row>
    <row r="305" spans="9:17">
      <c r="I305" s="205" t="s">
        <v>5348</v>
      </c>
      <c r="J305" s="111">
        <f>L305-L304-400000</f>
        <v>-400000</v>
      </c>
      <c r="K305" s="205" t="s">
        <v>5347</v>
      </c>
      <c r="L305" s="82">
        <v>1773000000</v>
      </c>
      <c r="M305" s="82">
        <v>879000000</v>
      </c>
      <c r="N305" s="111">
        <f t="shared" si="38"/>
        <v>2652000000</v>
      </c>
      <c r="O305" s="111">
        <f>M305-M304-400000</f>
        <v>-400000</v>
      </c>
      <c r="P305" s="111">
        <f>N305-N304-800000</f>
        <v>-800000</v>
      </c>
      <c r="Q305" s="216">
        <v>800000</v>
      </c>
    </row>
    <row r="306" spans="9:17">
      <c r="I306" s="205"/>
      <c r="J306" s="111">
        <f t="shared" si="37"/>
        <v>-186924808</v>
      </c>
      <c r="K306" s="205" t="s">
        <v>5354</v>
      </c>
      <c r="L306" s="82">
        <v>1586075192</v>
      </c>
      <c r="M306" s="82">
        <v>781102872</v>
      </c>
      <c r="N306" s="111">
        <f t="shared" si="38"/>
        <v>2367178064</v>
      </c>
      <c r="O306" s="111">
        <f t="shared" si="39"/>
        <v>-97897128</v>
      </c>
      <c r="P306" s="111">
        <f t="shared" si="40"/>
        <v>-284821936</v>
      </c>
      <c r="Q306" s="216">
        <v>0</v>
      </c>
    </row>
    <row r="307" spans="9:17">
      <c r="I307" s="205"/>
      <c r="J307" s="111">
        <f t="shared" si="37"/>
        <v>41531186</v>
      </c>
      <c r="K307" s="205" t="s">
        <v>5367</v>
      </c>
      <c r="L307" s="82">
        <v>1627606378</v>
      </c>
      <c r="M307" s="82">
        <v>802901457</v>
      </c>
      <c r="N307" s="111">
        <f t="shared" si="38"/>
        <v>2430507835</v>
      </c>
      <c r="O307" s="111">
        <f t="shared" si="39"/>
        <v>21798585</v>
      </c>
      <c r="P307" s="111">
        <f t="shared" si="40"/>
        <v>63329771</v>
      </c>
      <c r="Q307" s="216">
        <v>0</v>
      </c>
    </row>
    <row r="308" spans="9:17">
      <c r="I308" s="205" t="s">
        <v>5369</v>
      </c>
      <c r="J308" s="111">
        <f>L308-L307+968000</f>
        <v>30858637</v>
      </c>
      <c r="K308" s="205" t="s">
        <v>5368</v>
      </c>
      <c r="L308" s="82">
        <v>1657497015</v>
      </c>
      <c r="M308" s="82">
        <v>821645954</v>
      </c>
      <c r="N308" s="111">
        <f t="shared" si="38"/>
        <v>2479142969</v>
      </c>
      <c r="O308" s="111">
        <f t="shared" si="39"/>
        <v>18744497</v>
      </c>
      <c r="P308" s="111">
        <f>N308-N307+968000</f>
        <v>49603134</v>
      </c>
      <c r="Q308" s="216">
        <v>-968000</v>
      </c>
    </row>
    <row r="309" spans="9:17">
      <c r="I309" s="205"/>
      <c r="J309" s="111">
        <f t="shared" si="37"/>
        <v>48059361</v>
      </c>
      <c r="K309" s="205" t="s">
        <v>5370</v>
      </c>
      <c r="L309" s="82">
        <v>1705556376</v>
      </c>
      <c r="M309" s="82">
        <v>850233025</v>
      </c>
      <c r="N309" s="111">
        <f t="shared" si="38"/>
        <v>2555789401</v>
      </c>
      <c r="O309" s="111">
        <f t="shared" si="39"/>
        <v>28587071</v>
      </c>
      <c r="P309" s="111">
        <f t="shared" si="40"/>
        <v>76646432</v>
      </c>
      <c r="Q309" s="216">
        <v>0</v>
      </c>
    </row>
    <row r="310" spans="9:17">
      <c r="I310" s="205"/>
      <c r="J310" s="111">
        <f t="shared" si="37"/>
        <v>59443624</v>
      </c>
      <c r="K310" s="205" t="s">
        <v>5371</v>
      </c>
      <c r="L310" s="82">
        <v>1765000000</v>
      </c>
      <c r="M310" s="82">
        <v>874000000</v>
      </c>
      <c r="N310" s="111">
        <f t="shared" ref="N310:N329" si="41">L310+M310</f>
        <v>2639000000</v>
      </c>
      <c r="O310" s="111">
        <f t="shared" ref="O310:O329" si="42">M310-M309</f>
        <v>23766975</v>
      </c>
      <c r="P310" s="111">
        <f t="shared" ref="P310:P329" si="43">N310-N309</f>
        <v>83210599</v>
      </c>
      <c r="Q310" s="216">
        <v>0</v>
      </c>
    </row>
    <row r="311" spans="9:17">
      <c r="I311" s="205"/>
      <c r="J311" s="111">
        <f t="shared" si="37"/>
        <v>5000000</v>
      </c>
      <c r="K311" s="205" t="s">
        <v>5373</v>
      </c>
      <c r="L311" s="82">
        <v>1770000000</v>
      </c>
      <c r="M311" s="82">
        <v>883000000</v>
      </c>
      <c r="N311" s="111">
        <f t="shared" si="41"/>
        <v>2653000000</v>
      </c>
      <c r="O311" s="111">
        <f t="shared" si="42"/>
        <v>9000000</v>
      </c>
      <c r="P311" s="111">
        <f t="shared" si="43"/>
        <v>14000000</v>
      </c>
      <c r="Q311" s="216">
        <v>0</v>
      </c>
    </row>
    <row r="312" spans="9:17">
      <c r="I312" s="205"/>
      <c r="J312" s="111">
        <f t="shared" si="37"/>
        <v>-23705382</v>
      </c>
      <c r="K312" s="205" t="s">
        <v>5374</v>
      </c>
      <c r="L312" s="82">
        <v>1746294618</v>
      </c>
      <c r="M312" s="82">
        <v>870404179</v>
      </c>
      <c r="N312" s="111">
        <f t="shared" si="41"/>
        <v>2616698797</v>
      </c>
      <c r="O312" s="111">
        <f t="shared" si="42"/>
        <v>-12595821</v>
      </c>
      <c r="P312" s="111">
        <f t="shared" si="43"/>
        <v>-36301203</v>
      </c>
      <c r="Q312" s="216">
        <v>0</v>
      </c>
    </row>
    <row r="313" spans="9:17">
      <c r="I313" s="205"/>
      <c r="J313" s="111">
        <f t="shared" si="37"/>
        <v>52843587</v>
      </c>
      <c r="K313" s="205" t="s">
        <v>5375</v>
      </c>
      <c r="L313" s="82">
        <v>1799138205</v>
      </c>
      <c r="M313" s="82">
        <v>895075872</v>
      </c>
      <c r="N313" s="111">
        <f t="shared" si="41"/>
        <v>2694214077</v>
      </c>
      <c r="O313" s="111">
        <f t="shared" si="42"/>
        <v>24671693</v>
      </c>
      <c r="P313" s="111">
        <f t="shared" si="43"/>
        <v>77515280</v>
      </c>
      <c r="Q313" s="216">
        <v>0</v>
      </c>
    </row>
    <row r="314" spans="9:17">
      <c r="I314" s="205"/>
      <c r="J314" s="111">
        <f t="shared" si="37"/>
        <v>61989536</v>
      </c>
      <c r="K314" s="205" t="s">
        <v>5376</v>
      </c>
      <c r="L314" s="82">
        <v>1861127741</v>
      </c>
      <c r="M314" s="82">
        <v>925114188</v>
      </c>
      <c r="N314" s="111">
        <f t="shared" si="41"/>
        <v>2786241929</v>
      </c>
      <c r="O314" s="111">
        <f t="shared" si="42"/>
        <v>30038316</v>
      </c>
      <c r="P314" s="111">
        <f t="shared" si="43"/>
        <v>92027852</v>
      </c>
      <c r="Q314" s="216">
        <v>0</v>
      </c>
    </row>
    <row r="315" spans="9:17">
      <c r="I315" s="205"/>
      <c r="J315" s="111">
        <f t="shared" si="37"/>
        <v>187816102</v>
      </c>
      <c r="K315" s="205" t="s">
        <v>5377</v>
      </c>
      <c r="L315" s="82">
        <v>2048943843</v>
      </c>
      <c r="M315" s="82">
        <v>1018477929</v>
      </c>
      <c r="N315" s="210">
        <f t="shared" si="41"/>
        <v>3067421772</v>
      </c>
      <c r="O315" s="111">
        <f t="shared" si="42"/>
        <v>93363741</v>
      </c>
      <c r="P315" s="111">
        <f t="shared" si="43"/>
        <v>281179843</v>
      </c>
      <c r="Q315" s="216">
        <v>0</v>
      </c>
    </row>
    <row r="316" spans="9:17">
      <c r="I316" s="205"/>
      <c r="J316" s="111">
        <f t="shared" si="37"/>
        <v>90607204</v>
      </c>
      <c r="K316" s="205" t="s">
        <v>5378</v>
      </c>
      <c r="L316" s="82">
        <v>2139551047</v>
      </c>
      <c r="M316" s="82">
        <v>1063366113</v>
      </c>
      <c r="N316" s="210">
        <f t="shared" si="41"/>
        <v>3202917160</v>
      </c>
      <c r="O316" s="111">
        <f t="shared" si="42"/>
        <v>44888184</v>
      </c>
      <c r="P316" s="111">
        <f t="shared" si="43"/>
        <v>135495388</v>
      </c>
      <c r="Q316" s="216">
        <v>0</v>
      </c>
    </row>
    <row r="317" spans="9:17">
      <c r="I317" s="205"/>
      <c r="J317" s="111">
        <f t="shared" si="37"/>
        <v>-20242572</v>
      </c>
      <c r="K317" s="205" t="s">
        <v>5379</v>
      </c>
      <c r="L317" s="82">
        <v>2119308475</v>
      </c>
      <c r="M317" s="82">
        <v>1053047454</v>
      </c>
      <c r="N317" s="111">
        <f t="shared" si="41"/>
        <v>3172355929</v>
      </c>
      <c r="O317" s="111">
        <f t="shared" si="42"/>
        <v>-10318659</v>
      </c>
      <c r="P317" s="111">
        <f t="shared" si="43"/>
        <v>-30561231</v>
      </c>
      <c r="Q317" s="216">
        <v>0</v>
      </c>
    </row>
    <row r="318" spans="9:17">
      <c r="I318" s="205"/>
      <c r="J318" s="111">
        <f t="shared" si="37"/>
        <v>141276059</v>
      </c>
      <c r="K318" s="205" t="s">
        <v>5380</v>
      </c>
      <c r="L318" s="82">
        <v>2260584534</v>
      </c>
      <c r="M318" s="82">
        <v>1120314374</v>
      </c>
      <c r="N318" s="210">
        <f t="shared" si="41"/>
        <v>3380898908</v>
      </c>
      <c r="O318" s="111">
        <f t="shared" si="42"/>
        <v>67266920</v>
      </c>
      <c r="P318" s="111">
        <f t="shared" si="43"/>
        <v>208542979</v>
      </c>
      <c r="Q318" s="216">
        <v>0</v>
      </c>
    </row>
    <row r="319" spans="9:17">
      <c r="I319" s="205" t="s">
        <v>5382</v>
      </c>
      <c r="J319" s="111">
        <f>L319-L318-3006000</f>
        <v>32865631</v>
      </c>
      <c r="K319" s="205" t="s">
        <v>5381</v>
      </c>
      <c r="L319" s="82">
        <v>2296456165</v>
      </c>
      <c r="M319" s="82">
        <v>1139689638</v>
      </c>
      <c r="N319" s="210">
        <f t="shared" si="41"/>
        <v>3436145803</v>
      </c>
      <c r="O319" s="111">
        <f>M319-M318-3000000</f>
        <v>16375264</v>
      </c>
      <c r="P319" s="111">
        <f>N319-N318-6006000</f>
        <v>49240895</v>
      </c>
      <c r="Q319" s="216">
        <v>6006000</v>
      </c>
    </row>
    <row r="320" spans="9:17">
      <c r="I320" s="205"/>
      <c r="J320" s="111">
        <f t="shared" si="37"/>
        <v>106300248</v>
      </c>
      <c r="K320" s="205" t="s">
        <v>5386</v>
      </c>
      <c r="L320" s="82">
        <v>2402756413</v>
      </c>
      <c r="M320" s="82">
        <v>1193225866</v>
      </c>
      <c r="N320" s="210">
        <f t="shared" si="41"/>
        <v>3595982279</v>
      </c>
      <c r="O320" s="111">
        <f t="shared" si="42"/>
        <v>53536228</v>
      </c>
      <c r="P320" s="111">
        <f t="shared" si="43"/>
        <v>159836476</v>
      </c>
      <c r="Q320" s="216">
        <v>0</v>
      </c>
    </row>
    <row r="321" spans="9:22">
      <c r="I321" s="205"/>
      <c r="J321" s="111">
        <f t="shared" si="37"/>
        <v>26044736</v>
      </c>
      <c r="K321" s="205" t="s">
        <v>5387</v>
      </c>
      <c r="L321" s="82">
        <v>2428801149</v>
      </c>
      <c r="M321" s="82">
        <v>1206365805</v>
      </c>
      <c r="N321" s="210">
        <f t="shared" si="41"/>
        <v>3635166954</v>
      </c>
      <c r="O321" s="111">
        <f t="shared" si="42"/>
        <v>13139939</v>
      </c>
      <c r="P321" s="111">
        <f t="shared" si="43"/>
        <v>39184675</v>
      </c>
      <c r="Q321" s="216">
        <v>0</v>
      </c>
    </row>
    <row r="322" spans="9:22">
      <c r="I322" s="205"/>
      <c r="J322" s="111">
        <f t="shared" si="37"/>
        <v>171198851</v>
      </c>
      <c r="K322" s="205" t="s">
        <v>5388</v>
      </c>
      <c r="L322" s="82">
        <v>2600000000</v>
      </c>
      <c r="M322" s="82">
        <v>1292000000</v>
      </c>
      <c r="N322" s="210">
        <f t="shared" si="41"/>
        <v>3892000000</v>
      </c>
      <c r="O322" s="111">
        <f t="shared" si="42"/>
        <v>85634195</v>
      </c>
      <c r="P322" s="111">
        <f t="shared" si="43"/>
        <v>256833046</v>
      </c>
      <c r="Q322" s="216">
        <v>0</v>
      </c>
    </row>
    <row r="323" spans="9:22">
      <c r="I323" s="205"/>
      <c r="J323" s="111">
        <f t="shared" si="37"/>
        <v>84150663</v>
      </c>
      <c r="K323" s="205" t="s">
        <v>5389</v>
      </c>
      <c r="L323" s="82">
        <v>2684150663</v>
      </c>
      <c r="M323" s="82">
        <v>1332846782</v>
      </c>
      <c r="N323" s="210">
        <f t="shared" si="41"/>
        <v>4016997445</v>
      </c>
      <c r="O323" s="111">
        <f t="shared" si="42"/>
        <v>40846782</v>
      </c>
      <c r="P323" s="111">
        <f t="shared" si="43"/>
        <v>124997445</v>
      </c>
      <c r="Q323" s="216">
        <v>0</v>
      </c>
    </row>
    <row r="324" spans="9:22">
      <c r="I324" s="205"/>
      <c r="J324" s="111">
        <f t="shared" si="37"/>
        <v>82028611</v>
      </c>
      <c r="K324" s="205" t="s">
        <v>5390</v>
      </c>
      <c r="L324" s="82">
        <v>2766179274</v>
      </c>
      <c r="M324" s="82">
        <v>1375672179</v>
      </c>
      <c r="N324" s="210">
        <f t="shared" si="41"/>
        <v>4141851453</v>
      </c>
      <c r="O324" s="111">
        <f t="shared" si="42"/>
        <v>42825397</v>
      </c>
      <c r="P324" s="111">
        <f t="shared" si="43"/>
        <v>124854008</v>
      </c>
      <c r="Q324" s="216">
        <v>0</v>
      </c>
      <c r="V324" t="s">
        <v>25</v>
      </c>
    </row>
    <row r="325" spans="9:22">
      <c r="I325" s="205"/>
      <c r="J325" s="111">
        <f t="shared" si="37"/>
        <v>27803935</v>
      </c>
      <c r="K325" s="205" t="s">
        <v>5396</v>
      </c>
      <c r="L325" s="82">
        <v>2793983209</v>
      </c>
      <c r="M325" s="82">
        <v>1388455108</v>
      </c>
      <c r="N325" s="210">
        <f t="shared" si="41"/>
        <v>4182438317</v>
      </c>
      <c r="O325" s="111">
        <f t="shared" si="42"/>
        <v>12782929</v>
      </c>
      <c r="P325" s="111">
        <f t="shared" si="43"/>
        <v>40586864</v>
      </c>
      <c r="Q325" s="216">
        <v>0</v>
      </c>
    </row>
    <row r="326" spans="9:22">
      <c r="I326" s="205"/>
      <c r="J326" s="111">
        <f t="shared" si="37"/>
        <v>25995929</v>
      </c>
      <c r="K326" s="205" t="s">
        <v>5397</v>
      </c>
      <c r="L326" s="82">
        <v>2819979138</v>
      </c>
      <c r="M326" s="82">
        <v>1401539279</v>
      </c>
      <c r="N326" s="210">
        <f t="shared" si="41"/>
        <v>4221518417</v>
      </c>
      <c r="O326" s="111">
        <f t="shared" si="42"/>
        <v>13084171</v>
      </c>
      <c r="P326" s="111">
        <f t="shared" si="43"/>
        <v>39080100</v>
      </c>
      <c r="Q326" s="216">
        <v>0</v>
      </c>
    </row>
    <row r="327" spans="9:22">
      <c r="I327" s="205" t="s">
        <v>5400</v>
      </c>
      <c r="J327" s="111">
        <f>L327-L326+130382924</f>
        <v>36685298</v>
      </c>
      <c r="K327" s="205" t="s">
        <v>5399</v>
      </c>
      <c r="L327" s="82">
        <v>2726281512</v>
      </c>
      <c r="M327" s="82">
        <v>1352767212</v>
      </c>
      <c r="N327" s="210">
        <f t="shared" si="41"/>
        <v>4079048724</v>
      </c>
      <c r="O327" s="111">
        <f>M327-M326+65461942</f>
        <v>16689875</v>
      </c>
      <c r="P327" s="111">
        <f>N327-N326+195844866</f>
        <v>53375173</v>
      </c>
      <c r="Q327" s="216">
        <v>-195844866</v>
      </c>
    </row>
    <row r="328" spans="9:22">
      <c r="I328" s="205"/>
      <c r="J328" s="111">
        <f t="shared" si="37"/>
        <v>423693862</v>
      </c>
      <c r="K328" s="205" t="s">
        <v>5398</v>
      </c>
      <c r="L328" s="82">
        <v>3149975374</v>
      </c>
      <c r="M328" s="82">
        <v>1567387310</v>
      </c>
      <c r="N328" s="210">
        <f t="shared" si="41"/>
        <v>4717362684</v>
      </c>
      <c r="O328" s="111">
        <f t="shared" si="42"/>
        <v>214620098</v>
      </c>
      <c r="P328" s="111">
        <f t="shared" si="43"/>
        <v>638313960</v>
      </c>
      <c r="Q328" s="216">
        <v>0</v>
      </c>
    </row>
    <row r="329" spans="9:22">
      <c r="I329" s="205"/>
      <c r="J329" s="111">
        <f t="shared" si="37"/>
        <v>138024626</v>
      </c>
      <c r="K329" s="205" t="s">
        <v>5401</v>
      </c>
      <c r="L329" s="82">
        <v>3288000000</v>
      </c>
      <c r="M329" s="82">
        <v>1636000000</v>
      </c>
      <c r="N329" s="210">
        <f t="shared" si="41"/>
        <v>4924000000</v>
      </c>
      <c r="O329" s="111">
        <f t="shared" si="42"/>
        <v>68612690</v>
      </c>
      <c r="P329" s="111">
        <f t="shared" si="43"/>
        <v>206637316</v>
      </c>
      <c r="Q329" s="216">
        <v>0</v>
      </c>
    </row>
    <row r="330" spans="9:22">
      <c r="I330" s="205"/>
      <c r="J330" s="111">
        <f t="shared" si="37"/>
        <v>139431734</v>
      </c>
      <c r="K330" s="205" t="s">
        <v>5402</v>
      </c>
      <c r="L330" s="82">
        <v>3427431734</v>
      </c>
      <c r="M330" s="82">
        <v>1705312175</v>
      </c>
      <c r="N330" s="210">
        <f t="shared" ref="N330:N415" si="44">L330+M330</f>
        <v>5132743909</v>
      </c>
      <c r="O330" s="111">
        <f t="shared" ref="O330:O364" si="45">M330-M329</f>
        <v>69312175</v>
      </c>
      <c r="P330" s="111">
        <f t="shared" ref="P330:P364" si="46">N330-N329</f>
        <v>208743909</v>
      </c>
      <c r="Q330" s="216">
        <v>0</v>
      </c>
    </row>
    <row r="331" spans="9:22">
      <c r="I331" s="205"/>
      <c r="J331" s="111">
        <f t="shared" si="37"/>
        <v>171263819</v>
      </c>
      <c r="K331" s="205" t="s">
        <v>979</v>
      </c>
      <c r="L331" s="82">
        <v>3598695553</v>
      </c>
      <c r="M331" s="82">
        <v>1790521534</v>
      </c>
      <c r="N331" s="210">
        <f t="shared" si="44"/>
        <v>5389217087</v>
      </c>
      <c r="O331" s="111">
        <f t="shared" si="45"/>
        <v>85209359</v>
      </c>
      <c r="P331" s="111">
        <f t="shared" si="46"/>
        <v>256473178</v>
      </c>
      <c r="Q331" s="216">
        <v>0</v>
      </c>
    </row>
    <row r="332" spans="9:22">
      <c r="I332" s="187" t="s">
        <v>5406</v>
      </c>
      <c r="J332" s="186">
        <f>L332-L331-125000000</f>
        <v>154015802</v>
      </c>
      <c r="K332" s="187" t="s">
        <v>5280</v>
      </c>
      <c r="L332" s="220">
        <v>3877711355</v>
      </c>
      <c r="M332" s="220">
        <v>1868422520</v>
      </c>
      <c r="N332" s="210">
        <f t="shared" si="44"/>
        <v>5746133875</v>
      </c>
      <c r="O332" s="186">
        <f t="shared" si="45"/>
        <v>77900986</v>
      </c>
      <c r="P332" s="186">
        <f>N332-N331-125000000</f>
        <v>231916788</v>
      </c>
      <c r="Q332" s="216">
        <v>125000000</v>
      </c>
    </row>
    <row r="333" spans="9:22">
      <c r="I333" s="187" t="s">
        <v>5407</v>
      </c>
      <c r="J333" s="186">
        <f>L333-L332-7200000</f>
        <v>-108573535</v>
      </c>
      <c r="K333" s="187" t="s">
        <v>5403</v>
      </c>
      <c r="L333" s="220">
        <v>3776337820</v>
      </c>
      <c r="M333" s="220">
        <v>1839777065</v>
      </c>
      <c r="N333" s="186">
        <f t="shared" si="44"/>
        <v>5616114885</v>
      </c>
      <c r="O333" s="186">
        <f>M333-M332-35000000</f>
        <v>-63645455</v>
      </c>
      <c r="P333" s="186">
        <f>N333-N332-42200000</f>
        <v>-172218990</v>
      </c>
      <c r="Q333" s="216">
        <v>42200000</v>
      </c>
    </row>
    <row r="334" spans="9:22">
      <c r="I334" s="205"/>
      <c r="J334" s="111">
        <f t="shared" si="37"/>
        <v>-22190531</v>
      </c>
      <c r="K334" s="205" t="s">
        <v>5410</v>
      </c>
      <c r="L334" s="82">
        <v>3754147289</v>
      </c>
      <c r="M334" s="82">
        <v>1829218494</v>
      </c>
      <c r="N334" s="111">
        <f t="shared" si="44"/>
        <v>5583365783</v>
      </c>
      <c r="O334" s="111">
        <f t="shared" si="45"/>
        <v>-10558571</v>
      </c>
      <c r="P334" s="111">
        <f t="shared" si="46"/>
        <v>-32749102</v>
      </c>
      <c r="Q334" s="216">
        <v>0</v>
      </c>
    </row>
    <row r="335" spans="9:22">
      <c r="I335" s="205"/>
      <c r="J335" s="111">
        <f t="shared" si="37"/>
        <v>128294991</v>
      </c>
      <c r="K335" s="205" t="s">
        <v>5411</v>
      </c>
      <c r="L335" s="82">
        <v>3882442280</v>
      </c>
      <c r="M335" s="82">
        <v>1904290333</v>
      </c>
      <c r="N335" s="210">
        <f t="shared" si="44"/>
        <v>5786732613</v>
      </c>
      <c r="O335" s="111">
        <f t="shared" si="45"/>
        <v>75071839</v>
      </c>
      <c r="P335" s="111">
        <f t="shared" si="46"/>
        <v>203366830</v>
      </c>
      <c r="Q335" s="216">
        <v>0</v>
      </c>
    </row>
    <row r="336" spans="9:22">
      <c r="I336" s="205"/>
      <c r="J336" s="111">
        <f t="shared" si="37"/>
        <v>-19277835</v>
      </c>
      <c r="K336" s="205" t="s">
        <v>5412</v>
      </c>
      <c r="L336" s="82">
        <v>3863164445</v>
      </c>
      <c r="M336" s="82">
        <v>1883839042</v>
      </c>
      <c r="N336" s="111">
        <f t="shared" si="44"/>
        <v>5747003487</v>
      </c>
      <c r="O336" s="111">
        <f t="shared" si="45"/>
        <v>-20451291</v>
      </c>
      <c r="P336" s="111">
        <f t="shared" si="46"/>
        <v>-39729126</v>
      </c>
      <c r="Q336" s="216">
        <v>0</v>
      </c>
    </row>
    <row r="337" spans="9:19">
      <c r="I337" s="205"/>
      <c r="J337" s="111">
        <f t="shared" si="37"/>
        <v>-144610106</v>
      </c>
      <c r="K337" s="205" t="s">
        <v>5414</v>
      </c>
      <c r="L337" s="82">
        <v>3718554339</v>
      </c>
      <c r="M337" s="82">
        <v>1811827994</v>
      </c>
      <c r="N337" s="111">
        <f t="shared" si="44"/>
        <v>5530382333</v>
      </c>
      <c r="O337" s="111">
        <f t="shared" si="45"/>
        <v>-72011048</v>
      </c>
      <c r="P337" s="111">
        <f t="shared" si="46"/>
        <v>-216621154</v>
      </c>
      <c r="Q337" s="216">
        <v>0</v>
      </c>
    </row>
    <row r="338" spans="9:19">
      <c r="I338" s="205"/>
      <c r="J338" s="111">
        <f t="shared" si="37"/>
        <v>-168554339</v>
      </c>
      <c r="K338" s="205" t="s">
        <v>5415</v>
      </c>
      <c r="L338" s="82">
        <v>3550000000</v>
      </c>
      <c r="M338" s="82">
        <v>1730000000</v>
      </c>
      <c r="N338" s="111">
        <f t="shared" si="44"/>
        <v>5280000000</v>
      </c>
      <c r="O338" s="111">
        <f t="shared" si="45"/>
        <v>-81827994</v>
      </c>
      <c r="P338" s="111">
        <f t="shared" si="46"/>
        <v>-250382333</v>
      </c>
      <c r="Q338" s="216">
        <v>0</v>
      </c>
    </row>
    <row r="339" spans="9:19">
      <c r="I339" s="205"/>
      <c r="J339" s="111">
        <f t="shared" si="37"/>
        <v>-162698423</v>
      </c>
      <c r="K339" s="205" t="s">
        <v>5417</v>
      </c>
      <c r="L339" s="82">
        <v>3387301577</v>
      </c>
      <c r="M339" s="82">
        <v>1650000000</v>
      </c>
      <c r="N339" s="111">
        <f t="shared" si="44"/>
        <v>5037301577</v>
      </c>
      <c r="O339" s="111">
        <f t="shared" si="45"/>
        <v>-80000000</v>
      </c>
      <c r="P339" s="111">
        <f t="shared" si="46"/>
        <v>-242698423</v>
      </c>
      <c r="Q339" s="216">
        <v>0</v>
      </c>
    </row>
    <row r="340" spans="9:19">
      <c r="I340" s="205"/>
      <c r="J340" s="111">
        <f t="shared" si="37"/>
        <v>-137426039</v>
      </c>
      <c r="K340" s="205" t="s">
        <v>5418</v>
      </c>
      <c r="L340" s="82">
        <v>3249875538</v>
      </c>
      <c r="M340" s="82">
        <v>1583444686</v>
      </c>
      <c r="N340" s="111">
        <f t="shared" si="44"/>
        <v>4833320224</v>
      </c>
      <c r="O340" s="111">
        <f t="shared" si="45"/>
        <v>-66555314</v>
      </c>
      <c r="P340" s="111">
        <f t="shared" si="46"/>
        <v>-203981353</v>
      </c>
      <c r="Q340" s="216">
        <v>0</v>
      </c>
    </row>
    <row r="341" spans="9:19">
      <c r="I341" s="205"/>
      <c r="J341" s="111">
        <f t="shared" si="37"/>
        <v>-8795174</v>
      </c>
      <c r="K341" s="205" t="s">
        <v>5419</v>
      </c>
      <c r="L341" s="82">
        <v>3241080364</v>
      </c>
      <c r="M341" s="82">
        <v>1578556448</v>
      </c>
      <c r="N341" s="111">
        <f t="shared" si="44"/>
        <v>4819636812</v>
      </c>
      <c r="O341" s="111">
        <f t="shared" si="45"/>
        <v>-4888238</v>
      </c>
      <c r="P341" s="111">
        <f t="shared" si="46"/>
        <v>-13683412</v>
      </c>
      <c r="Q341" s="216">
        <v>0</v>
      </c>
    </row>
    <row r="342" spans="9:19">
      <c r="I342" s="205"/>
      <c r="J342" s="111">
        <f t="shared" si="37"/>
        <v>138483558</v>
      </c>
      <c r="K342" s="205" t="s">
        <v>5420</v>
      </c>
      <c r="L342" s="82">
        <v>3379563922</v>
      </c>
      <c r="M342" s="82">
        <v>1645808930</v>
      </c>
      <c r="N342" s="111">
        <f t="shared" si="44"/>
        <v>5025372852</v>
      </c>
      <c r="O342" s="111">
        <f t="shared" si="45"/>
        <v>67252482</v>
      </c>
      <c r="P342" s="111">
        <f t="shared" si="46"/>
        <v>205736040</v>
      </c>
      <c r="Q342" s="216">
        <v>0</v>
      </c>
      <c r="S342" t="s">
        <v>25</v>
      </c>
    </row>
    <row r="343" spans="9:19">
      <c r="I343" s="205"/>
      <c r="J343" s="111">
        <f t="shared" si="37"/>
        <v>-113569577</v>
      </c>
      <c r="K343" s="205" t="s">
        <v>5421</v>
      </c>
      <c r="L343" s="82">
        <v>3265994345</v>
      </c>
      <c r="M343" s="82">
        <v>1604890418</v>
      </c>
      <c r="N343" s="111">
        <f t="shared" si="44"/>
        <v>4870884763</v>
      </c>
      <c r="O343" s="111">
        <f t="shared" si="45"/>
        <v>-40918512</v>
      </c>
      <c r="P343" s="111">
        <f t="shared" si="46"/>
        <v>-154488089</v>
      </c>
      <c r="Q343" s="216">
        <v>0</v>
      </c>
    </row>
    <row r="344" spans="9:19">
      <c r="I344" s="205"/>
      <c r="J344" s="111">
        <f t="shared" si="37"/>
        <v>89973185</v>
      </c>
      <c r="K344" s="205" t="s">
        <v>5422</v>
      </c>
      <c r="L344" s="82">
        <v>3355967530</v>
      </c>
      <c r="M344" s="82">
        <v>1637972294</v>
      </c>
      <c r="N344" s="111">
        <f t="shared" si="44"/>
        <v>4993939824</v>
      </c>
      <c r="O344" s="111">
        <f t="shared" si="45"/>
        <v>33081876</v>
      </c>
      <c r="P344" s="111">
        <f t="shared" si="46"/>
        <v>123055061</v>
      </c>
      <c r="Q344" s="216">
        <v>0</v>
      </c>
    </row>
    <row r="345" spans="9:19">
      <c r="I345" s="205"/>
      <c r="J345" s="111">
        <f t="shared" si="37"/>
        <v>-151470245</v>
      </c>
      <c r="K345" s="205" t="s">
        <v>5426</v>
      </c>
      <c r="L345" s="82">
        <v>3204497285</v>
      </c>
      <c r="M345" s="82">
        <v>1563005571</v>
      </c>
      <c r="N345" s="111">
        <f t="shared" si="44"/>
        <v>4767502856</v>
      </c>
      <c r="O345" s="111">
        <f t="shared" si="45"/>
        <v>-74966723</v>
      </c>
      <c r="P345" s="111">
        <f t="shared" si="46"/>
        <v>-226436968</v>
      </c>
      <c r="Q345" s="216">
        <v>0</v>
      </c>
    </row>
    <row r="346" spans="9:19">
      <c r="I346" s="205"/>
      <c r="J346" s="111">
        <f t="shared" si="37"/>
        <v>15502715</v>
      </c>
      <c r="K346" s="205" t="s">
        <v>5438</v>
      </c>
      <c r="L346" s="82">
        <v>3220000000</v>
      </c>
      <c r="M346" s="82">
        <v>1580000000</v>
      </c>
      <c r="N346" s="111">
        <f t="shared" si="44"/>
        <v>4800000000</v>
      </c>
      <c r="O346" s="111">
        <f t="shared" si="45"/>
        <v>16994429</v>
      </c>
      <c r="P346" s="111">
        <f t="shared" si="46"/>
        <v>32497144</v>
      </c>
      <c r="Q346" s="216">
        <v>0</v>
      </c>
    </row>
    <row r="347" spans="9:19">
      <c r="I347" s="187" t="s">
        <v>5453</v>
      </c>
      <c r="J347" s="186">
        <f>L347-L346-50000000</f>
        <v>30000000</v>
      </c>
      <c r="K347" s="187" t="s">
        <v>5439</v>
      </c>
      <c r="L347" s="220">
        <v>3300000000</v>
      </c>
      <c r="M347" s="220">
        <v>1600000000</v>
      </c>
      <c r="N347" s="186">
        <f t="shared" si="44"/>
        <v>4900000000</v>
      </c>
      <c r="O347" s="186">
        <f t="shared" si="45"/>
        <v>20000000</v>
      </c>
      <c r="P347" s="186">
        <f>N347-N346-50000000</f>
        <v>50000000</v>
      </c>
      <c r="Q347" s="216">
        <v>50000000</v>
      </c>
    </row>
    <row r="348" spans="9:19">
      <c r="I348" s="187" t="s">
        <v>5454</v>
      </c>
      <c r="J348" s="186">
        <f t="shared" si="37"/>
        <v>79324490</v>
      </c>
      <c r="K348" s="187" t="s">
        <v>5440</v>
      </c>
      <c r="L348" s="220">
        <v>3379324490</v>
      </c>
      <c r="M348" s="220">
        <v>1643511084</v>
      </c>
      <c r="N348" s="186">
        <f>L348+M348</f>
        <v>5022835574</v>
      </c>
      <c r="O348" s="186">
        <f>M348-M347-20000000</f>
        <v>23511084</v>
      </c>
      <c r="P348" s="186">
        <f>N348-N347-20000000</f>
        <v>102835574</v>
      </c>
      <c r="Q348" s="216">
        <v>20000000</v>
      </c>
    </row>
    <row r="349" spans="9:19">
      <c r="I349" s="205"/>
      <c r="J349" s="111">
        <f t="shared" si="37"/>
        <v>103488135</v>
      </c>
      <c r="K349" s="205" t="s">
        <v>5457</v>
      </c>
      <c r="L349" s="82">
        <v>3482812625</v>
      </c>
      <c r="M349" s="82">
        <v>1687800619</v>
      </c>
      <c r="N349" s="111">
        <f t="shared" si="44"/>
        <v>5170613244</v>
      </c>
      <c r="O349" s="111">
        <f t="shared" si="45"/>
        <v>44289535</v>
      </c>
      <c r="P349" s="111">
        <f t="shared" si="46"/>
        <v>147777670</v>
      </c>
      <c r="Q349" s="216">
        <v>0</v>
      </c>
    </row>
    <row r="350" spans="9:19">
      <c r="I350" s="205"/>
      <c r="J350" s="111">
        <f t="shared" si="37"/>
        <v>158859553</v>
      </c>
      <c r="K350" s="205" t="s">
        <v>5458</v>
      </c>
      <c r="L350" s="82">
        <v>3641672178</v>
      </c>
      <c r="M350" s="82">
        <v>1761048225</v>
      </c>
      <c r="N350" s="111">
        <f t="shared" si="44"/>
        <v>5402720403</v>
      </c>
      <c r="O350" s="111">
        <f t="shared" si="45"/>
        <v>73247606</v>
      </c>
      <c r="P350" s="111">
        <f t="shared" si="46"/>
        <v>232107159</v>
      </c>
      <c r="Q350" s="216">
        <v>0</v>
      </c>
    </row>
    <row r="351" spans="9:19">
      <c r="I351" s="205"/>
      <c r="J351" s="111">
        <f t="shared" si="37"/>
        <v>148972135</v>
      </c>
      <c r="K351" s="205" t="s">
        <v>5459</v>
      </c>
      <c r="L351" s="82">
        <v>3790644313</v>
      </c>
      <c r="M351" s="82">
        <v>1833071944</v>
      </c>
      <c r="N351" s="111">
        <f t="shared" si="44"/>
        <v>5623716257</v>
      </c>
      <c r="O351" s="111">
        <f t="shared" si="45"/>
        <v>72023719</v>
      </c>
      <c r="P351" s="111">
        <f t="shared" si="46"/>
        <v>220995854</v>
      </c>
      <c r="Q351" s="216">
        <v>0</v>
      </c>
    </row>
    <row r="352" spans="9:19">
      <c r="I352" s="205"/>
      <c r="J352" s="111">
        <f t="shared" si="37"/>
        <v>173385305</v>
      </c>
      <c r="K352" s="205" t="s">
        <v>5461</v>
      </c>
      <c r="L352" s="82">
        <v>3964029618</v>
      </c>
      <c r="M352" s="82">
        <v>1918994990</v>
      </c>
      <c r="N352" s="270">
        <f t="shared" si="44"/>
        <v>5883024608</v>
      </c>
      <c r="O352" s="111">
        <f t="shared" si="45"/>
        <v>85923046</v>
      </c>
      <c r="P352" s="111">
        <f t="shared" si="46"/>
        <v>259308351</v>
      </c>
      <c r="Q352" s="216">
        <v>0</v>
      </c>
    </row>
    <row r="353" spans="9:21">
      <c r="I353" s="205"/>
      <c r="J353" s="111">
        <f t="shared" si="37"/>
        <v>197999356</v>
      </c>
      <c r="K353" s="205" t="s">
        <v>5462</v>
      </c>
      <c r="L353" s="82">
        <v>4162028974</v>
      </c>
      <c r="M353" s="82">
        <v>2014922470</v>
      </c>
      <c r="N353" s="270">
        <f t="shared" si="44"/>
        <v>6176951444</v>
      </c>
      <c r="O353" s="111">
        <f t="shared" si="45"/>
        <v>95927480</v>
      </c>
      <c r="P353" s="111">
        <f t="shared" si="46"/>
        <v>293926836</v>
      </c>
      <c r="Q353" s="216">
        <v>0</v>
      </c>
      <c r="U353" t="s">
        <v>25</v>
      </c>
    </row>
    <row r="354" spans="9:21">
      <c r="I354" s="205"/>
      <c r="J354" s="111">
        <f t="shared" si="37"/>
        <v>75948917</v>
      </c>
      <c r="K354" s="205" t="s">
        <v>5463</v>
      </c>
      <c r="L354" s="82">
        <v>4237977891</v>
      </c>
      <c r="M354" s="82">
        <v>2058362540</v>
      </c>
      <c r="N354" s="270">
        <f t="shared" si="44"/>
        <v>6296340431</v>
      </c>
      <c r="O354" s="111">
        <f t="shared" si="45"/>
        <v>43440070</v>
      </c>
      <c r="P354" s="111">
        <f t="shared" si="46"/>
        <v>119388987</v>
      </c>
      <c r="Q354" s="216">
        <v>0</v>
      </c>
    </row>
    <row r="355" spans="9:21">
      <c r="I355" s="205"/>
      <c r="J355" s="111">
        <f t="shared" si="37"/>
        <v>272316683</v>
      </c>
      <c r="K355" s="205" t="s">
        <v>5464</v>
      </c>
      <c r="L355" s="82">
        <v>4510294574</v>
      </c>
      <c r="M355" s="82">
        <v>2190854889</v>
      </c>
      <c r="N355" s="270">
        <f t="shared" si="44"/>
        <v>6701149463</v>
      </c>
      <c r="O355" s="111">
        <f t="shared" si="45"/>
        <v>132492349</v>
      </c>
      <c r="P355" s="111">
        <f t="shared" si="46"/>
        <v>404809032</v>
      </c>
      <c r="Q355" s="216">
        <v>0</v>
      </c>
    </row>
    <row r="356" spans="9:21">
      <c r="I356" s="205"/>
      <c r="J356" s="111">
        <f t="shared" si="37"/>
        <v>20447233</v>
      </c>
      <c r="K356" s="205" t="s">
        <v>5465</v>
      </c>
      <c r="L356" s="82">
        <v>4530741807</v>
      </c>
      <c r="M356" s="82">
        <v>2183355146</v>
      </c>
      <c r="N356" s="270">
        <f t="shared" si="44"/>
        <v>6714096953</v>
      </c>
      <c r="O356" s="111">
        <f t="shared" si="45"/>
        <v>-7499743</v>
      </c>
      <c r="P356" s="111">
        <f t="shared" si="46"/>
        <v>12947490</v>
      </c>
      <c r="Q356" s="216">
        <v>0</v>
      </c>
    </row>
    <row r="357" spans="9:21">
      <c r="I357" s="205"/>
      <c r="J357" s="111">
        <f t="shared" si="37"/>
        <v>44659872</v>
      </c>
      <c r="K357" s="205" t="s">
        <v>5466</v>
      </c>
      <c r="L357" s="82">
        <v>4575401679</v>
      </c>
      <c r="M357" s="82">
        <v>2205686125</v>
      </c>
      <c r="N357" s="270">
        <f t="shared" si="44"/>
        <v>6781087804</v>
      </c>
      <c r="O357" s="111">
        <f t="shared" si="45"/>
        <v>22330979</v>
      </c>
      <c r="P357" s="111">
        <f t="shared" si="46"/>
        <v>66990851</v>
      </c>
      <c r="Q357" s="216">
        <v>0</v>
      </c>
    </row>
    <row r="358" spans="9:21">
      <c r="I358" s="205"/>
      <c r="J358" s="111">
        <f t="shared" si="37"/>
        <v>-97728047</v>
      </c>
      <c r="K358" s="205" t="s">
        <v>5467</v>
      </c>
      <c r="L358" s="82">
        <v>4477673632</v>
      </c>
      <c r="M358" s="82">
        <v>2158000000</v>
      </c>
      <c r="N358" s="111">
        <f t="shared" si="44"/>
        <v>6635673632</v>
      </c>
      <c r="O358" s="111">
        <f t="shared" si="45"/>
        <v>-47686125</v>
      </c>
      <c r="P358" s="111">
        <f t="shared" si="46"/>
        <v>-145414172</v>
      </c>
      <c r="Q358" s="216">
        <v>0</v>
      </c>
    </row>
    <row r="359" spans="9:21">
      <c r="I359" s="205"/>
      <c r="J359" s="111">
        <f t="shared" si="37"/>
        <v>127023161</v>
      </c>
      <c r="K359" s="205" t="s">
        <v>5468</v>
      </c>
      <c r="L359" s="82">
        <v>4604696793</v>
      </c>
      <c r="M359" s="82">
        <f>M358*L359/L358</f>
        <v>2219218392.3989034</v>
      </c>
      <c r="N359" s="270">
        <f t="shared" si="44"/>
        <v>6823915185.3989029</v>
      </c>
      <c r="O359" s="111">
        <f t="shared" si="45"/>
        <v>61218392.39890337</v>
      </c>
      <c r="P359" s="111">
        <f t="shared" si="46"/>
        <v>188241553.39890289</v>
      </c>
      <c r="Q359" s="216">
        <v>0</v>
      </c>
    </row>
    <row r="360" spans="9:21">
      <c r="I360" s="205"/>
      <c r="J360" s="111">
        <f t="shared" si="37"/>
        <v>97899358</v>
      </c>
      <c r="K360" s="205" t="s">
        <v>5469</v>
      </c>
      <c r="L360" s="82">
        <v>4702596151</v>
      </c>
      <c r="M360" s="82">
        <f>M359*L360/L359</f>
        <v>2266400664.2496624</v>
      </c>
      <c r="N360" s="270">
        <f t="shared" si="44"/>
        <v>6968996815.2496624</v>
      </c>
      <c r="O360" s="111">
        <f t="shared" si="45"/>
        <v>47182271.850759029</v>
      </c>
      <c r="P360" s="111">
        <f t="shared" si="46"/>
        <v>145081629.85075951</v>
      </c>
      <c r="Q360" s="216">
        <v>0</v>
      </c>
    </row>
    <row r="361" spans="9:21">
      <c r="I361" s="205"/>
      <c r="J361" s="111">
        <f t="shared" si="37"/>
        <v>27403849</v>
      </c>
      <c r="K361" s="205" t="s">
        <v>5472</v>
      </c>
      <c r="L361" s="82">
        <v>4730000000</v>
      </c>
      <c r="M361" s="82">
        <v>2276000000</v>
      </c>
      <c r="N361" s="270">
        <f t="shared" si="44"/>
        <v>7006000000</v>
      </c>
      <c r="O361" s="111">
        <f t="shared" si="45"/>
        <v>9599335.7503376007</v>
      </c>
      <c r="P361" s="111">
        <f t="shared" si="46"/>
        <v>37003184.750337601</v>
      </c>
      <c r="Q361" s="216">
        <v>0</v>
      </c>
    </row>
    <row r="362" spans="9:21">
      <c r="I362" s="208" t="s">
        <v>5474</v>
      </c>
      <c r="J362" s="227">
        <f>L362-L361+58196600</f>
        <v>79816926</v>
      </c>
      <c r="K362" s="208" t="s">
        <v>5473</v>
      </c>
      <c r="L362" s="228">
        <v>4751620326</v>
      </c>
      <c r="M362" s="228">
        <v>2286535574</v>
      </c>
      <c r="N362" s="227">
        <f t="shared" si="44"/>
        <v>7038155900</v>
      </c>
      <c r="O362" s="227">
        <f>M362-M361+46183500</f>
        <v>56719074</v>
      </c>
      <c r="P362" s="227">
        <f>N362-N361+58196600+46183500</f>
        <v>136536000</v>
      </c>
      <c r="Q362" s="216">
        <v>-104380100</v>
      </c>
    </row>
    <row r="363" spans="9:21">
      <c r="I363" s="205"/>
      <c r="J363" s="111">
        <f t="shared" si="37"/>
        <v>240267176</v>
      </c>
      <c r="K363" s="205" t="s">
        <v>5475</v>
      </c>
      <c r="L363" s="82">
        <v>4991887502</v>
      </c>
      <c r="M363" s="82">
        <v>2397577212</v>
      </c>
      <c r="N363" s="270">
        <f t="shared" si="44"/>
        <v>7389464714</v>
      </c>
      <c r="O363" s="111">
        <f t="shared" si="45"/>
        <v>111041638</v>
      </c>
      <c r="P363" s="111">
        <f t="shared" si="46"/>
        <v>351308814</v>
      </c>
      <c r="Q363" s="216">
        <v>0</v>
      </c>
    </row>
    <row r="364" spans="9:21">
      <c r="I364" s="205"/>
      <c r="J364" s="111">
        <f t="shared" si="37"/>
        <v>228141203</v>
      </c>
      <c r="K364" s="205" t="s">
        <v>5477</v>
      </c>
      <c r="L364" s="82">
        <v>5220028705</v>
      </c>
      <c r="M364" s="82">
        <v>2501264745</v>
      </c>
      <c r="N364" s="270">
        <f t="shared" si="44"/>
        <v>7721293450</v>
      </c>
      <c r="O364" s="111">
        <f t="shared" si="45"/>
        <v>103687533</v>
      </c>
      <c r="P364" s="111">
        <f t="shared" si="46"/>
        <v>331828736</v>
      </c>
      <c r="Q364" s="216">
        <v>0</v>
      </c>
    </row>
    <row r="365" spans="9:21">
      <c r="I365" s="205"/>
      <c r="J365" s="111">
        <f t="shared" si="37"/>
        <v>246697634</v>
      </c>
      <c r="K365" s="205" t="s">
        <v>5479</v>
      </c>
      <c r="L365" s="82">
        <v>5466726339</v>
      </c>
      <c r="M365" s="82">
        <v>2611141264</v>
      </c>
      <c r="N365" s="270">
        <f t="shared" si="44"/>
        <v>8077867603</v>
      </c>
      <c r="O365" s="111">
        <f t="shared" ref="O365:O373" si="47">M365-M364</f>
        <v>109876519</v>
      </c>
      <c r="P365" s="111">
        <f t="shared" ref="P365:P373" si="48">N365-N364</f>
        <v>356574153</v>
      </c>
      <c r="Q365" s="216">
        <v>0</v>
      </c>
      <c r="U365" t="s">
        <v>25</v>
      </c>
    </row>
    <row r="366" spans="9:21">
      <c r="I366" s="205"/>
      <c r="J366" s="111">
        <f t="shared" si="37"/>
        <v>197105230</v>
      </c>
      <c r="K366" s="205" t="s">
        <v>5480</v>
      </c>
      <c r="L366" s="82">
        <v>5663831569</v>
      </c>
      <c r="M366" s="82">
        <v>2689938073</v>
      </c>
      <c r="N366" s="270">
        <f t="shared" si="44"/>
        <v>8353769642</v>
      </c>
      <c r="O366" s="111">
        <f t="shared" si="47"/>
        <v>78796809</v>
      </c>
      <c r="P366" s="111">
        <f t="shared" si="48"/>
        <v>275902039</v>
      </c>
      <c r="Q366" s="216">
        <v>0</v>
      </c>
    </row>
    <row r="367" spans="9:21">
      <c r="I367" s="205"/>
      <c r="J367" s="111">
        <f t="shared" si="37"/>
        <v>-43831569</v>
      </c>
      <c r="K367" s="205" t="s">
        <v>5483</v>
      </c>
      <c r="L367" s="82">
        <v>5620000000</v>
      </c>
      <c r="M367" s="82">
        <v>2670000000</v>
      </c>
      <c r="N367" s="111">
        <f t="shared" si="44"/>
        <v>8290000000</v>
      </c>
      <c r="O367" s="111">
        <f t="shared" si="47"/>
        <v>-19938073</v>
      </c>
      <c r="P367" s="111">
        <f t="shared" si="48"/>
        <v>-63769642</v>
      </c>
      <c r="S367" t="s">
        <v>25</v>
      </c>
    </row>
    <row r="368" spans="9:21">
      <c r="I368" s="187" t="s">
        <v>5485</v>
      </c>
      <c r="J368" s="186">
        <f t="shared" si="37"/>
        <v>-39749235</v>
      </c>
      <c r="K368" s="187" t="s">
        <v>5484</v>
      </c>
      <c r="L368" s="220">
        <v>5580250765</v>
      </c>
      <c r="M368" s="220">
        <v>2682359720</v>
      </c>
      <c r="N368" s="186">
        <f t="shared" si="44"/>
        <v>8262610485</v>
      </c>
      <c r="O368" s="186">
        <f>M368-M367-50000000</f>
        <v>-37640280</v>
      </c>
      <c r="P368" s="186">
        <f>N368-N367-50000000</f>
        <v>-77389515</v>
      </c>
      <c r="Q368" s="216">
        <v>50000000</v>
      </c>
    </row>
    <row r="369" spans="9:20">
      <c r="I369" s="205"/>
      <c r="J369" s="111">
        <f t="shared" si="37"/>
        <v>174576498</v>
      </c>
      <c r="K369" s="205" t="s">
        <v>5489</v>
      </c>
      <c r="L369" s="82">
        <v>5754827263</v>
      </c>
      <c r="M369" s="82">
        <v>2766301410</v>
      </c>
      <c r="N369" s="270">
        <f t="shared" si="44"/>
        <v>8521128673</v>
      </c>
      <c r="O369" s="111">
        <f t="shared" si="47"/>
        <v>83941690</v>
      </c>
      <c r="P369" s="111">
        <f t="shared" si="48"/>
        <v>258518188</v>
      </c>
      <c r="Q369" s="216">
        <v>0</v>
      </c>
    </row>
    <row r="370" spans="9:20">
      <c r="I370" s="205"/>
      <c r="J370" s="111">
        <f t="shared" si="37"/>
        <v>282226898</v>
      </c>
      <c r="K370" s="205" t="s">
        <v>5490</v>
      </c>
      <c r="L370" s="82">
        <v>6037054161</v>
      </c>
      <c r="M370" s="82">
        <v>2358541132</v>
      </c>
      <c r="N370" s="111">
        <f t="shared" si="44"/>
        <v>8395595293</v>
      </c>
      <c r="O370" s="111">
        <f t="shared" si="47"/>
        <v>-407760278</v>
      </c>
      <c r="P370" s="111">
        <f t="shared" si="48"/>
        <v>-125533380</v>
      </c>
      <c r="Q370" s="216">
        <v>0</v>
      </c>
    </row>
    <row r="371" spans="9:20">
      <c r="I371" s="205"/>
      <c r="J371" s="111">
        <f t="shared" si="37"/>
        <v>-192374033</v>
      </c>
      <c r="K371" s="205" t="s">
        <v>5491</v>
      </c>
      <c r="L371" s="82">
        <v>5844680128</v>
      </c>
      <c r="M371" s="82">
        <v>2825703655</v>
      </c>
      <c r="N371" s="270">
        <f t="shared" si="44"/>
        <v>8670383783</v>
      </c>
      <c r="O371" s="111">
        <f t="shared" si="47"/>
        <v>467162523</v>
      </c>
      <c r="P371" s="111">
        <f t="shared" si="48"/>
        <v>274788490</v>
      </c>
      <c r="Q371" s="216">
        <v>0</v>
      </c>
    </row>
    <row r="372" spans="9:20">
      <c r="I372" s="205"/>
      <c r="J372" s="111">
        <f t="shared" si="37"/>
        <v>454779250</v>
      </c>
      <c r="K372" s="205" t="s">
        <v>5492</v>
      </c>
      <c r="L372" s="82">
        <v>6299459378</v>
      </c>
      <c r="M372" s="82">
        <v>3030827103</v>
      </c>
      <c r="N372" s="270">
        <f t="shared" si="44"/>
        <v>9330286481</v>
      </c>
      <c r="O372" s="111">
        <f t="shared" si="47"/>
        <v>205123448</v>
      </c>
      <c r="P372" s="111">
        <f t="shared" si="48"/>
        <v>659902698</v>
      </c>
      <c r="Q372" s="216">
        <v>0</v>
      </c>
      <c r="S372" t="s">
        <v>25</v>
      </c>
    </row>
    <row r="373" spans="9:20">
      <c r="I373" s="205"/>
      <c r="J373" s="111">
        <f t="shared" si="37"/>
        <v>243541031</v>
      </c>
      <c r="K373" s="205" t="s">
        <v>5493</v>
      </c>
      <c r="L373" s="82">
        <v>6543000409</v>
      </c>
      <c r="M373" s="82">
        <v>3149206053</v>
      </c>
      <c r="N373" s="270">
        <f t="shared" si="44"/>
        <v>9692206462</v>
      </c>
      <c r="O373" s="111">
        <f t="shared" si="47"/>
        <v>118378950</v>
      </c>
      <c r="P373" s="111">
        <f t="shared" si="48"/>
        <v>361919981</v>
      </c>
      <c r="Q373" s="216">
        <v>0</v>
      </c>
    </row>
    <row r="374" spans="9:20">
      <c r="I374" s="205"/>
      <c r="J374" s="111">
        <f t="shared" si="37"/>
        <v>269667120</v>
      </c>
      <c r="K374" s="205" t="s">
        <v>5494</v>
      </c>
      <c r="L374" s="82">
        <v>6812667529</v>
      </c>
      <c r="M374" s="82">
        <v>3304835300</v>
      </c>
      <c r="N374" s="270">
        <f t="shared" si="44"/>
        <v>10117502829</v>
      </c>
      <c r="O374" s="111">
        <f t="shared" ref="O374:O415" si="49">M374-M373</f>
        <v>155629247</v>
      </c>
      <c r="P374" s="111">
        <f t="shared" ref="P374:P415" si="50">N374-N373</f>
        <v>425296367</v>
      </c>
      <c r="Q374" s="216">
        <v>0</v>
      </c>
      <c r="T374" t="s">
        <v>25</v>
      </c>
    </row>
    <row r="375" spans="9:20">
      <c r="I375" s="205"/>
      <c r="J375" s="111">
        <f t="shared" si="37"/>
        <v>-331071826</v>
      </c>
      <c r="K375" s="205" t="s">
        <v>5497</v>
      </c>
      <c r="L375" s="82">
        <v>6481595703</v>
      </c>
      <c r="M375" s="82">
        <v>3132578581</v>
      </c>
      <c r="N375" s="111">
        <f t="shared" si="44"/>
        <v>9614174284</v>
      </c>
      <c r="O375" s="111">
        <f t="shared" si="49"/>
        <v>-172256719</v>
      </c>
      <c r="P375" s="111">
        <f t="shared" si="50"/>
        <v>-503328545</v>
      </c>
      <c r="Q375" s="216">
        <v>0</v>
      </c>
    </row>
    <row r="376" spans="9:20">
      <c r="I376" s="205"/>
      <c r="J376" s="111">
        <f t="shared" si="37"/>
        <v>132706158</v>
      </c>
      <c r="K376" s="205" t="s">
        <v>5498</v>
      </c>
      <c r="L376" s="82">
        <v>6614301861</v>
      </c>
      <c r="M376" s="82">
        <v>3249650660</v>
      </c>
      <c r="N376" s="111">
        <f t="shared" si="44"/>
        <v>9863952521</v>
      </c>
      <c r="O376" s="111">
        <f t="shared" si="49"/>
        <v>117072079</v>
      </c>
      <c r="P376" s="111">
        <f t="shared" si="50"/>
        <v>249778237</v>
      </c>
      <c r="Q376" s="216">
        <v>0</v>
      </c>
    </row>
    <row r="377" spans="9:20">
      <c r="I377" s="205"/>
      <c r="J377" s="111">
        <f t="shared" si="37"/>
        <v>-107606296</v>
      </c>
      <c r="K377" s="205" t="s">
        <v>5510</v>
      </c>
      <c r="L377" s="82">
        <v>6506695565</v>
      </c>
      <c r="M377" s="82">
        <v>3224950981</v>
      </c>
      <c r="N377" s="111">
        <f t="shared" si="44"/>
        <v>9731646546</v>
      </c>
      <c r="O377" s="111">
        <f t="shared" si="49"/>
        <v>-24699679</v>
      </c>
      <c r="P377" s="111">
        <f t="shared" si="50"/>
        <v>-132305975</v>
      </c>
      <c r="Q377" s="216">
        <v>0</v>
      </c>
      <c r="S377" t="s">
        <v>25</v>
      </c>
    </row>
    <row r="378" spans="9:20">
      <c r="I378" s="205"/>
      <c r="J378" s="111">
        <f t="shared" si="37"/>
        <v>-109123444</v>
      </c>
      <c r="K378" s="205" t="s">
        <v>4209</v>
      </c>
      <c r="L378" s="82">
        <v>6397572121</v>
      </c>
      <c r="M378" s="82">
        <v>3157901382</v>
      </c>
      <c r="N378" s="111">
        <f t="shared" si="44"/>
        <v>9555473503</v>
      </c>
      <c r="O378" s="111">
        <f t="shared" si="49"/>
        <v>-67049599</v>
      </c>
      <c r="P378" s="111">
        <f t="shared" si="50"/>
        <v>-176173043</v>
      </c>
      <c r="Q378" s="216">
        <v>0</v>
      </c>
    </row>
    <row r="379" spans="9:20">
      <c r="I379" s="205"/>
      <c r="J379" s="111">
        <f t="shared" si="37"/>
        <v>-167747443</v>
      </c>
      <c r="K379" s="205" t="s">
        <v>5516</v>
      </c>
      <c r="L379" s="82">
        <v>6229824678</v>
      </c>
      <c r="M379" s="82">
        <v>3099029650</v>
      </c>
      <c r="N379" s="111">
        <f t="shared" si="44"/>
        <v>9328854328</v>
      </c>
      <c r="O379" s="111">
        <f t="shared" si="49"/>
        <v>-58871732</v>
      </c>
      <c r="P379" s="111">
        <f t="shared" si="50"/>
        <v>-226619175</v>
      </c>
      <c r="Q379" s="216">
        <v>0</v>
      </c>
    </row>
    <row r="380" spans="9:20">
      <c r="I380" s="205"/>
      <c r="J380" s="111">
        <f t="shared" si="37"/>
        <v>-120830327</v>
      </c>
      <c r="K380" s="205" t="s">
        <v>5517</v>
      </c>
      <c r="L380" s="82">
        <v>6108994351</v>
      </c>
      <c r="M380" s="82">
        <v>3027070745</v>
      </c>
      <c r="N380" s="111">
        <f t="shared" si="44"/>
        <v>9136065096</v>
      </c>
      <c r="O380" s="111">
        <f t="shared" si="49"/>
        <v>-71958905</v>
      </c>
      <c r="P380" s="111">
        <f t="shared" si="50"/>
        <v>-192789232</v>
      </c>
      <c r="Q380" s="216">
        <v>0</v>
      </c>
    </row>
    <row r="381" spans="9:20">
      <c r="I381" s="205"/>
      <c r="J381" s="111">
        <f t="shared" si="37"/>
        <v>-16401758</v>
      </c>
      <c r="K381" s="205" t="s">
        <v>5523</v>
      </c>
      <c r="L381" s="82">
        <v>6092592593</v>
      </c>
      <c r="M381" s="82">
        <v>2974864809</v>
      </c>
      <c r="N381" s="111">
        <f t="shared" si="44"/>
        <v>9067457402</v>
      </c>
      <c r="O381" s="111">
        <f t="shared" si="49"/>
        <v>-52205936</v>
      </c>
      <c r="P381" s="111">
        <f t="shared" si="50"/>
        <v>-68607694</v>
      </c>
      <c r="Q381" s="216">
        <v>0</v>
      </c>
    </row>
    <row r="382" spans="9:20">
      <c r="I382" s="205"/>
      <c r="J382" s="111">
        <f t="shared" si="37"/>
        <v>207407407</v>
      </c>
      <c r="K382" s="205" t="s">
        <v>5527</v>
      </c>
      <c r="L382" s="82">
        <v>6300000000</v>
      </c>
      <c r="M382" s="82">
        <v>3050000000</v>
      </c>
      <c r="N382" s="111">
        <f t="shared" si="44"/>
        <v>9350000000</v>
      </c>
      <c r="O382" s="111">
        <f t="shared" si="49"/>
        <v>75135191</v>
      </c>
      <c r="P382" s="111">
        <f t="shared" si="50"/>
        <v>282542598</v>
      </c>
      <c r="Q382" s="216">
        <v>0</v>
      </c>
    </row>
    <row r="383" spans="9:20">
      <c r="I383" s="205"/>
      <c r="J383" s="111">
        <f t="shared" si="37"/>
        <v>202537855</v>
      </c>
      <c r="K383" s="205" t="s">
        <v>5528</v>
      </c>
      <c r="L383" s="82">
        <v>6502537855</v>
      </c>
      <c r="M383" s="82">
        <v>3154215771</v>
      </c>
      <c r="N383" s="111">
        <f t="shared" si="44"/>
        <v>9656753626</v>
      </c>
      <c r="O383" s="111">
        <f t="shared" si="49"/>
        <v>104215771</v>
      </c>
      <c r="P383" s="111">
        <f t="shared" si="50"/>
        <v>306753626</v>
      </c>
      <c r="Q383" s="216">
        <v>0</v>
      </c>
    </row>
    <row r="384" spans="9:20">
      <c r="I384" s="205"/>
      <c r="J384" s="111">
        <f t="shared" si="37"/>
        <v>-202537855</v>
      </c>
      <c r="K384" s="205" t="s">
        <v>5532</v>
      </c>
      <c r="L384" s="82">
        <v>6300000000</v>
      </c>
      <c r="M384" s="82">
        <v>3050000000</v>
      </c>
      <c r="N384" s="111">
        <f t="shared" si="44"/>
        <v>9350000000</v>
      </c>
      <c r="O384" s="111">
        <f t="shared" si="49"/>
        <v>-104215771</v>
      </c>
      <c r="P384" s="111">
        <f t="shared" si="50"/>
        <v>-306753626</v>
      </c>
      <c r="Q384" s="216">
        <v>0</v>
      </c>
    </row>
    <row r="385" spans="9:21">
      <c r="I385" s="205"/>
      <c r="J385" s="111">
        <f t="shared" si="37"/>
        <v>-183005183</v>
      </c>
      <c r="K385" s="205" t="s">
        <v>5537</v>
      </c>
      <c r="L385" s="82">
        <v>6116994817</v>
      </c>
      <c r="M385" s="82">
        <v>2980615807</v>
      </c>
      <c r="N385" s="111">
        <f t="shared" si="44"/>
        <v>9097610624</v>
      </c>
      <c r="O385" s="111">
        <f t="shared" si="49"/>
        <v>-69384193</v>
      </c>
      <c r="P385" s="111">
        <f t="shared" si="50"/>
        <v>-252389376</v>
      </c>
      <c r="Q385" s="216">
        <v>0</v>
      </c>
      <c r="T385" t="s">
        <v>25</v>
      </c>
      <c r="U385" t="s">
        <v>25</v>
      </c>
    </row>
    <row r="386" spans="9:21">
      <c r="I386" s="205"/>
      <c r="J386" s="111">
        <f t="shared" si="37"/>
        <v>168141898</v>
      </c>
      <c r="K386" s="205" t="s">
        <v>5539</v>
      </c>
      <c r="L386" s="82">
        <v>6285136715</v>
      </c>
      <c r="M386" s="82">
        <v>3101902848</v>
      </c>
      <c r="N386" s="111">
        <f t="shared" si="44"/>
        <v>9387039563</v>
      </c>
      <c r="O386" s="111">
        <f t="shared" si="49"/>
        <v>121287041</v>
      </c>
      <c r="P386" s="111">
        <f t="shared" si="50"/>
        <v>289428939</v>
      </c>
      <c r="Q386" s="216">
        <v>0</v>
      </c>
    </row>
    <row r="387" spans="9:21">
      <c r="I387" s="205"/>
      <c r="J387" s="111">
        <f t="shared" si="37"/>
        <v>-34275406</v>
      </c>
      <c r="K387" s="205" t="s">
        <v>5540</v>
      </c>
      <c r="L387" s="82">
        <v>6250861309</v>
      </c>
      <c r="M387" s="82">
        <v>3198478808</v>
      </c>
      <c r="N387" s="111">
        <f t="shared" si="44"/>
        <v>9449340117</v>
      </c>
      <c r="O387" s="111">
        <f t="shared" si="49"/>
        <v>96575960</v>
      </c>
      <c r="P387" s="111">
        <f t="shared" si="50"/>
        <v>62300554</v>
      </c>
      <c r="Q387" s="216">
        <v>0</v>
      </c>
    </row>
    <row r="388" spans="9:21">
      <c r="I388" s="205"/>
      <c r="J388" s="111">
        <f t="shared" si="37"/>
        <v>-53341821</v>
      </c>
      <c r="K388" s="205" t="s">
        <v>5541</v>
      </c>
      <c r="L388" s="82">
        <v>6197519488</v>
      </c>
      <c r="M388" s="82">
        <v>3314399558</v>
      </c>
      <c r="N388" s="111">
        <f t="shared" si="44"/>
        <v>9511919046</v>
      </c>
      <c r="O388" s="111">
        <f t="shared" si="49"/>
        <v>115920750</v>
      </c>
      <c r="P388" s="111">
        <f t="shared" si="50"/>
        <v>62578929</v>
      </c>
      <c r="Q388" s="216">
        <v>0</v>
      </c>
    </row>
    <row r="389" spans="9:21">
      <c r="I389" s="205"/>
      <c r="J389" s="111">
        <f t="shared" si="37"/>
        <v>-70853488</v>
      </c>
      <c r="K389" s="205" t="s">
        <v>5542</v>
      </c>
      <c r="L389" s="82">
        <v>6126666000</v>
      </c>
      <c r="M389" s="82">
        <v>3341157354</v>
      </c>
      <c r="N389" s="111">
        <f t="shared" si="44"/>
        <v>9467823354</v>
      </c>
      <c r="O389" s="111">
        <f t="shared" si="49"/>
        <v>26757796</v>
      </c>
      <c r="P389" s="111">
        <f t="shared" si="50"/>
        <v>-44095692</v>
      </c>
      <c r="Q389" s="216">
        <v>0</v>
      </c>
    </row>
    <row r="390" spans="9:21">
      <c r="I390" s="256" t="s">
        <v>5548</v>
      </c>
      <c r="J390" s="92">
        <f>L390-L389+98469400</f>
        <v>113425690</v>
      </c>
      <c r="K390" s="256" t="s">
        <v>5531</v>
      </c>
      <c r="L390" s="257">
        <v>6141622290</v>
      </c>
      <c r="M390" s="257">
        <v>3374346152</v>
      </c>
      <c r="N390" s="92">
        <f t="shared" si="44"/>
        <v>9515968442</v>
      </c>
      <c r="O390" s="92">
        <f>M390-M389+683050</f>
        <v>33871848</v>
      </c>
      <c r="P390" s="92">
        <f>N390-N389+98469400+683050</f>
        <v>147297538</v>
      </c>
      <c r="Q390" s="216">
        <f>-98469400-683050</f>
        <v>-99152450</v>
      </c>
    </row>
    <row r="391" spans="9:21">
      <c r="I391" s="205"/>
      <c r="J391" s="111">
        <f t="shared" si="37"/>
        <v>174895820</v>
      </c>
      <c r="K391" s="205" t="s">
        <v>5529</v>
      </c>
      <c r="L391" s="82">
        <v>6316518110</v>
      </c>
      <c r="M391" s="82">
        <v>3473516023</v>
      </c>
      <c r="N391" s="111">
        <f t="shared" si="44"/>
        <v>9790034133</v>
      </c>
      <c r="O391" s="111">
        <f t="shared" si="49"/>
        <v>99169871</v>
      </c>
      <c r="P391" s="111">
        <f t="shared" si="50"/>
        <v>274065691</v>
      </c>
      <c r="Q391" s="216">
        <v>0</v>
      </c>
    </row>
    <row r="392" spans="9:21">
      <c r="I392" s="205"/>
      <c r="J392" s="111">
        <f t="shared" si="37"/>
        <v>276610492</v>
      </c>
      <c r="K392" s="205" t="s">
        <v>5549</v>
      </c>
      <c r="L392" s="82">
        <v>6593128602</v>
      </c>
      <c r="M392" s="82">
        <v>3636387688</v>
      </c>
      <c r="N392" s="270">
        <f t="shared" si="44"/>
        <v>10229516290</v>
      </c>
      <c r="O392" s="111">
        <f t="shared" si="49"/>
        <v>162871665</v>
      </c>
      <c r="P392" s="111">
        <f t="shared" si="50"/>
        <v>439482157</v>
      </c>
      <c r="Q392" s="216">
        <v>0</v>
      </c>
    </row>
    <row r="393" spans="9:21">
      <c r="I393" s="205"/>
      <c r="J393" s="111">
        <f t="shared" si="37"/>
        <v>34366370</v>
      </c>
      <c r="K393" s="205" t="s">
        <v>5550</v>
      </c>
      <c r="L393" s="82">
        <v>6627494972</v>
      </c>
      <c r="M393" s="82">
        <v>3737746960</v>
      </c>
      <c r="N393" s="270">
        <f t="shared" si="44"/>
        <v>10365241932</v>
      </c>
      <c r="O393" s="111">
        <f t="shared" si="49"/>
        <v>101359272</v>
      </c>
      <c r="P393" s="111">
        <f t="shared" si="50"/>
        <v>135725642</v>
      </c>
      <c r="Q393" s="216">
        <v>0</v>
      </c>
    </row>
    <row r="394" spans="9:21">
      <c r="I394" s="205"/>
      <c r="J394" s="111">
        <f t="shared" si="37"/>
        <v>-35088651</v>
      </c>
      <c r="K394" s="205" t="s">
        <v>5551</v>
      </c>
      <c r="L394" s="82">
        <v>6592406321</v>
      </c>
      <c r="M394" s="82">
        <v>3809828043</v>
      </c>
      <c r="N394" s="270">
        <f t="shared" si="44"/>
        <v>10402234364</v>
      </c>
      <c r="O394" s="111">
        <f t="shared" si="49"/>
        <v>72081083</v>
      </c>
      <c r="P394" s="111">
        <f t="shared" si="50"/>
        <v>36992432</v>
      </c>
      <c r="Q394" s="216">
        <v>0</v>
      </c>
    </row>
    <row r="395" spans="9:21">
      <c r="I395" s="205"/>
      <c r="J395" s="111">
        <f t="shared" si="37"/>
        <v>60518657</v>
      </c>
      <c r="K395" s="205" t="s">
        <v>5553</v>
      </c>
      <c r="L395" s="82">
        <v>6652924978</v>
      </c>
      <c r="M395" s="82">
        <v>3886247065</v>
      </c>
      <c r="N395" s="35">
        <f t="shared" si="44"/>
        <v>10539172043</v>
      </c>
      <c r="O395" s="111">
        <f t="shared" si="49"/>
        <v>76419022</v>
      </c>
      <c r="P395" s="111">
        <f t="shared" si="50"/>
        <v>136937679</v>
      </c>
      <c r="Q395" s="216">
        <v>0</v>
      </c>
    </row>
    <row r="396" spans="9:21">
      <c r="I396" s="205"/>
      <c r="J396" s="111">
        <f t="shared" si="37"/>
        <v>-157208317</v>
      </c>
      <c r="K396" s="205" t="s">
        <v>5554</v>
      </c>
      <c r="L396" s="82">
        <v>6495716661</v>
      </c>
      <c r="M396" s="82">
        <v>3847093958</v>
      </c>
      <c r="N396" s="111">
        <f t="shared" si="44"/>
        <v>10342810619</v>
      </c>
      <c r="O396" s="111">
        <f t="shared" si="49"/>
        <v>-39153107</v>
      </c>
      <c r="P396" s="111">
        <f t="shared" si="50"/>
        <v>-196361424</v>
      </c>
      <c r="Q396" s="216">
        <v>0</v>
      </c>
    </row>
    <row r="397" spans="9:21">
      <c r="I397" s="205"/>
      <c r="J397" s="111">
        <f t="shared" si="37"/>
        <v>-223145870</v>
      </c>
      <c r="K397" s="205" t="s">
        <v>5555</v>
      </c>
      <c r="L397" s="82">
        <v>6272570791</v>
      </c>
      <c r="M397" s="82">
        <v>3722276044</v>
      </c>
      <c r="N397" s="111">
        <f t="shared" si="44"/>
        <v>9994846835</v>
      </c>
      <c r="O397" s="111">
        <f t="shared" si="49"/>
        <v>-124817914</v>
      </c>
      <c r="P397" s="111">
        <f t="shared" si="50"/>
        <v>-347963784</v>
      </c>
      <c r="Q397" s="216">
        <v>0</v>
      </c>
    </row>
    <row r="398" spans="9:21">
      <c r="I398" s="205"/>
      <c r="J398" s="111">
        <f t="shared" si="37"/>
        <v>-227530904</v>
      </c>
      <c r="K398" s="205" t="s">
        <v>5530</v>
      </c>
      <c r="L398" s="82">
        <v>6045039887</v>
      </c>
      <c r="M398" s="82">
        <v>3588931144</v>
      </c>
      <c r="N398" s="111">
        <f t="shared" si="44"/>
        <v>9633971031</v>
      </c>
      <c r="O398" s="111">
        <f t="shared" si="49"/>
        <v>-133344900</v>
      </c>
      <c r="P398" s="111">
        <f t="shared" si="50"/>
        <v>-360875804</v>
      </c>
      <c r="Q398" s="216">
        <v>0</v>
      </c>
    </row>
    <row r="399" spans="9:21">
      <c r="I399" s="205"/>
      <c r="J399" s="111">
        <f t="shared" si="37"/>
        <v>109503474</v>
      </c>
      <c r="K399" s="205" t="s">
        <v>5558</v>
      </c>
      <c r="L399" s="82">
        <v>6154543361</v>
      </c>
      <c r="M399" s="82">
        <v>3629118507</v>
      </c>
      <c r="N399" s="111">
        <f t="shared" si="44"/>
        <v>9783661868</v>
      </c>
      <c r="O399" s="111">
        <f t="shared" si="49"/>
        <v>40187363</v>
      </c>
      <c r="P399" s="111">
        <f t="shared" si="50"/>
        <v>149690837</v>
      </c>
      <c r="Q399" s="216">
        <v>0</v>
      </c>
    </row>
    <row r="400" spans="9:21">
      <c r="I400" s="205"/>
      <c r="J400" s="111">
        <f t="shared" si="37"/>
        <v>-644129068</v>
      </c>
      <c r="K400" s="205" t="s">
        <v>5559</v>
      </c>
      <c r="L400" s="82">
        <v>5510414293</v>
      </c>
      <c r="M400" s="82">
        <v>3254206558</v>
      </c>
      <c r="N400" s="111">
        <f t="shared" si="44"/>
        <v>8764620851</v>
      </c>
      <c r="O400" s="111">
        <f t="shared" si="49"/>
        <v>-374911949</v>
      </c>
      <c r="P400" s="111">
        <f t="shared" si="50"/>
        <v>-1019041017</v>
      </c>
      <c r="Q400" s="216">
        <v>0</v>
      </c>
      <c r="U400" t="s">
        <v>25</v>
      </c>
    </row>
    <row r="401" spans="9:17">
      <c r="I401" s="205"/>
      <c r="J401" s="111">
        <f t="shared" si="37"/>
        <v>257585707</v>
      </c>
      <c r="K401" s="205" t="s">
        <v>5561</v>
      </c>
      <c r="L401" s="82">
        <v>5768000000</v>
      </c>
      <c r="M401" s="82">
        <v>3381000000</v>
      </c>
      <c r="N401" s="111">
        <f t="shared" si="44"/>
        <v>9149000000</v>
      </c>
      <c r="O401" s="111">
        <f t="shared" si="49"/>
        <v>126793442</v>
      </c>
      <c r="P401" s="111">
        <f t="shared" si="50"/>
        <v>384379149</v>
      </c>
      <c r="Q401" s="216">
        <v>0</v>
      </c>
    </row>
    <row r="402" spans="9:17">
      <c r="I402" s="205"/>
      <c r="J402" s="111">
        <f t="shared" si="37"/>
        <v>-168000000</v>
      </c>
      <c r="K402" s="205" t="s">
        <v>3888</v>
      </c>
      <c r="L402" s="82">
        <v>5600000000</v>
      </c>
      <c r="M402" s="82">
        <v>3250000000</v>
      </c>
      <c r="N402" s="111">
        <f t="shared" si="44"/>
        <v>8850000000</v>
      </c>
      <c r="O402" s="111">
        <f t="shared" si="49"/>
        <v>-131000000</v>
      </c>
      <c r="P402" s="111">
        <f t="shared" si="50"/>
        <v>-299000000</v>
      </c>
      <c r="Q402" s="216">
        <v>0</v>
      </c>
    </row>
    <row r="403" spans="9:17">
      <c r="I403" s="205"/>
      <c r="J403" s="111">
        <f t="shared" si="37"/>
        <v>-150000000</v>
      </c>
      <c r="K403" s="205" t="s">
        <v>5562</v>
      </c>
      <c r="L403" s="82">
        <v>5450000000</v>
      </c>
      <c r="M403" s="82">
        <v>3100000000</v>
      </c>
      <c r="N403" s="111">
        <f t="shared" si="44"/>
        <v>8550000000</v>
      </c>
      <c r="O403" s="111">
        <f t="shared" si="49"/>
        <v>-150000000</v>
      </c>
      <c r="P403" s="111">
        <f t="shared" si="50"/>
        <v>-300000000</v>
      </c>
      <c r="Q403" s="216">
        <v>0</v>
      </c>
    </row>
    <row r="404" spans="9:17">
      <c r="I404" s="205"/>
      <c r="J404" s="111">
        <f t="shared" si="37"/>
        <v>-150000000</v>
      </c>
      <c r="K404" s="205" t="s">
        <v>5564</v>
      </c>
      <c r="L404" s="82">
        <v>5300000000</v>
      </c>
      <c r="M404" s="82">
        <v>3050000000</v>
      </c>
      <c r="N404" s="111">
        <f t="shared" si="44"/>
        <v>8350000000</v>
      </c>
      <c r="O404" s="111">
        <f t="shared" si="49"/>
        <v>-50000000</v>
      </c>
      <c r="P404" s="111">
        <f t="shared" si="50"/>
        <v>-200000000</v>
      </c>
      <c r="Q404" s="216">
        <v>0</v>
      </c>
    </row>
    <row r="405" spans="9:17">
      <c r="I405" s="205"/>
      <c r="J405" s="111">
        <f t="shared" si="37"/>
        <v>-150000000</v>
      </c>
      <c r="K405" s="205" t="s">
        <v>5566</v>
      </c>
      <c r="L405" s="82">
        <v>5150000000</v>
      </c>
      <c r="M405" s="82">
        <v>3000000000</v>
      </c>
      <c r="N405" s="111">
        <f t="shared" si="44"/>
        <v>8150000000</v>
      </c>
      <c r="O405" s="111">
        <f t="shared" si="49"/>
        <v>-50000000</v>
      </c>
      <c r="P405" s="111">
        <f t="shared" si="50"/>
        <v>-200000000</v>
      </c>
      <c r="Q405" s="216">
        <v>0</v>
      </c>
    </row>
    <row r="406" spans="9:17">
      <c r="I406" s="205"/>
      <c r="J406" s="111">
        <f t="shared" si="37"/>
        <v>-135453928</v>
      </c>
      <c r="K406" s="205" t="s">
        <v>5569</v>
      </c>
      <c r="L406" s="82">
        <v>5014546072</v>
      </c>
      <c r="M406" s="82">
        <v>2987995133</v>
      </c>
      <c r="N406" s="111">
        <f t="shared" si="44"/>
        <v>8002541205</v>
      </c>
      <c r="O406" s="111">
        <f t="shared" si="49"/>
        <v>-12004867</v>
      </c>
      <c r="P406" s="111">
        <f t="shared" si="50"/>
        <v>-147458795</v>
      </c>
      <c r="Q406" s="216">
        <v>0</v>
      </c>
    </row>
    <row r="407" spans="9:17">
      <c r="I407" s="205"/>
      <c r="J407" s="111">
        <f t="shared" si="37"/>
        <v>241706477</v>
      </c>
      <c r="K407" s="205" t="s">
        <v>5571</v>
      </c>
      <c r="L407" s="82">
        <v>5256252549</v>
      </c>
      <c r="M407" s="82">
        <v>3103570482</v>
      </c>
      <c r="N407" s="111">
        <f t="shared" si="44"/>
        <v>8359823031</v>
      </c>
      <c r="O407" s="111">
        <f t="shared" si="49"/>
        <v>115575349</v>
      </c>
      <c r="P407" s="111">
        <f t="shared" si="50"/>
        <v>357281826</v>
      </c>
      <c r="Q407" s="216">
        <v>0</v>
      </c>
    </row>
    <row r="408" spans="9:17">
      <c r="I408" s="205"/>
      <c r="J408" s="111">
        <f t="shared" si="37"/>
        <v>251475479</v>
      </c>
      <c r="K408" s="205" t="s">
        <v>5572</v>
      </c>
      <c r="L408" s="82">
        <v>5507728028</v>
      </c>
      <c r="M408" s="82">
        <v>3251586232</v>
      </c>
      <c r="N408" s="111">
        <f t="shared" si="44"/>
        <v>8759314260</v>
      </c>
      <c r="O408" s="111">
        <f t="shared" si="49"/>
        <v>148015750</v>
      </c>
      <c r="P408" s="111">
        <f t="shared" si="50"/>
        <v>399491229</v>
      </c>
      <c r="Q408" s="216">
        <v>0</v>
      </c>
    </row>
    <row r="409" spans="9:17">
      <c r="I409" s="205"/>
      <c r="J409" s="111">
        <f t="shared" si="37"/>
        <v>-207728028</v>
      </c>
      <c r="K409" s="205" t="s">
        <v>5573</v>
      </c>
      <c r="L409" s="82">
        <v>5300000000</v>
      </c>
      <c r="M409" s="82">
        <v>3150000000</v>
      </c>
      <c r="N409" s="111">
        <f t="shared" si="44"/>
        <v>8450000000</v>
      </c>
      <c r="O409" s="111">
        <f t="shared" si="49"/>
        <v>-101586232</v>
      </c>
      <c r="P409" s="111">
        <f t="shared" si="50"/>
        <v>-309314260</v>
      </c>
      <c r="Q409" s="216">
        <v>0</v>
      </c>
    </row>
    <row r="410" spans="9:17">
      <c r="I410" s="205"/>
      <c r="J410" s="111">
        <f t="shared" si="37"/>
        <v>-178432621</v>
      </c>
      <c r="K410" s="205" t="s">
        <v>5576</v>
      </c>
      <c r="L410" s="82">
        <v>5121567379</v>
      </c>
      <c r="M410" s="82">
        <v>3018847808</v>
      </c>
      <c r="N410" s="111">
        <f t="shared" si="44"/>
        <v>8140415187</v>
      </c>
      <c r="O410" s="111">
        <f t="shared" si="49"/>
        <v>-131152192</v>
      </c>
      <c r="P410" s="111">
        <f t="shared" si="50"/>
        <v>-309584813</v>
      </c>
      <c r="Q410" s="216">
        <v>0</v>
      </c>
    </row>
    <row r="411" spans="9:17">
      <c r="I411" s="205"/>
      <c r="J411" s="111">
        <f t="shared" si="37"/>
        <v>96814281</v>
      </c>
      <c r="K411" s="205" t="s">
        <v>5578</v>
      </c>
      <c r="L411" s="82">
        <v>5218381660</v>
      </c>
      <c r="M411" s="82">
        <v>3066844882</v>
      </c>
      <c r="N411" s="111">
        <f t="shared" si="44"/>
        <v>8285226542</v>
      </c>
      <c r="O411" s="111">
        <f t="shared" si="49"/>
        <v>47997074</v>
      </c>
      <c r="P411" s="111">
        <f t="shared" si="50"/>
        <v>144811355</v>
      </c>
      <c r="Q411" s="216">
        <v>0</v>
      </c>
    </row>
    <row r="412" spans="9:17">
      <c r="I412" s="205"/>
      <c r="J412" s="111">
        <f t="shared" si="37"/>
        <v>-3247574</v>
      </c>
      <c r="K412" s="205" t="s">
        <v>5581</v>
      </c>
      <c r="L412" s="82">
        <v>5215134086</v>
      </c>
      <c r="M412" s="82">
        <v>3078145871</v>
      </c>
      <c r="N412" s="111">
        <f t="shared" si="44"/>
        <v>8293279957</v>
      </c>
      <c r="O412" s="111">
        <f t="shared" si="49"/>
        <v>11300989</v>
      </c>
      <c r="P412" s="111">
        <f t="shared" si="50"/>
        <v>8053415</v>
      </c>
      <c r="Q412" s="216">
        <v>0</v>
      </c>
    </row>
    <row r="413" spans="9:17">
      <c r="I413" s="205"/>
      <c r="J413" s="111">
        <f t="shared" si="37"/>
        <v>5019616</v>
      </c>
      <c r="K413" s="205" t="s">
        <v>5582</v>
      </c>
      <c r="L413" s="82">
        <v>5220153702</v>
      </c>
      <c r="M413" s="82">
        <v>3087043354</v>
      </c>
      <c r="N413" s="111">
        <f t="shared" si="44"/>
        <v>8307197056</v>
      </c>
      <c r="O413" s="111">
        <f t="shared" si="49"/>
        <v>8897483</v>
      </c>
      <c r="P413" s="111">
        <f t="shared" si="50"/>
        <v>13917099</v>
      </c>
      <c r="Q413" s="216">
        <v>0</v>
      </c>
    </row>
    <row r="414" spans="9:17">
      <c r="I414" s="205"/>
      <c r="J414" s="111">
        <f t="shared" si="37"/>
        <v>-62469210</v>
      </c>
      <c r="K414" s="205" t="s">
        <v>5583</v>
      </c>
      <c r="L414" s="82">
        <v>5157684492</v>
      </c>
      <c r="M414" s="82">
        <v>3055766920</v>
      </c>
      <c r="N414" s="111">
        <f t="shared" si="44"/>
        <v>8213451412</v>
      </c>
      <c r="O414" s="111">
        <f t="shared" si="49"/>
        <v>-31276434</v>
      </c>
      <c r="P414" s="111">
        <f t="shared" si="50"/>
        <v>-93745644</v>
      </c>
      <c r="Q414" s="216">
        <v>0</v>
      </c>
    </row>
    <row r="415" spans="9:17">
      <c r="I415" s="205"/>
      <c r="J415" s="111">
        <f t="shared" si="37"/>
        <v>-172184470</v>
      </c>
      <c r="K415" s="205" t="s">
        <v>5586</v>
      </c>
      <c r="L415" s="82">
        <v>4985500022</v>
      </c>
      <c r="M415" s="82">
        <v>3006602536</v>
      </c>
      <c r="N415" s="111">
        <f t="shared" si="44"/>
        <v>7992102558</v>
      </c>
      <c r="O415" s="111">
        <f t="shared" si="49"/>
        <v>-49164384</v>
      </c>
      <c r="P415" s="111">
        <f t="shared" si="50"/>
        <v>-221348854</v>
      </c>
      <c r="Q415" s="216">
        <v>0</v>
      </c>
    </row>
    <row r="416" spans="9:17">
      <c r="I416" s="205"/>
      <c r="J416" s="111">
        <f t="shared" ref="J416:J559" si="51">L416-L415</f>
        <v>147652909</v>
      </c>
      <c r="K416" s="205" t="s">
        <v>5587</v>
      </c>
      <c r="L416" s="82">
        <v>5133152931</v>
      </c>
      <c r="M416" s="82">
        <v>3092223617</v>
      </c>
      <c r="N416" s="111">
        <f t="shared" ref="N416:N462" si="52">L416+M416</f>
        <v>8225376548</v>
      </c>
      <c r="O416" s="111">
        <f t="shared" ref="O416:O439" si="53">M416-M415</f>
        <v>85621081</v>
      </c>
      <c r="P416" s="111">
        <f t="shared" ref="P416:P439" si="54">N416-N415</f>
        <v>233273990</v>
      </c>
      <c r="Q416" s="216">
        <v>0</v>
      </c>
    </row>
    <row r="417" spans="9:21">
      <c r="I417" s="205"/>
      <c r="J417" s="111">
        <f t="shared" si="51"/>
        <v>189045597</v>
      </c>
      <c r="K417" s="205" t="s">
        <v>5588</v>
      </c>
      <c r="L417" s="82">
        <v>5322198528</v>
      </c>
      <c r="M417" s="82">
        <v>3215671484</v>
      </c>
      <c r="N417" s="111">
        <f t="shared" si="52"/>
        <v>8537870012</v>
      </c>
      <c r="O417" s="111">
        <f t="shared" si="53"/>
        <v>123447867</v>
      </c>
      <c r="P417" s="111">
        <f t="shared" si="54"/>
        <v>312493464</v>
      </c>
      <c r="Q417" s="216">
        <v>0</v>
      </c>
    </row>
    <row r="418" spans="9:21">
      <c r="I418" s="205"/>
      <c r="J418" s="111">
        <f t="shared" si="51"/>
        <v>-31187186</v>
      </c>
      <c r="K418" s="205" t="s">
        <v>5593</v>
      </c>
      <c r="L418" s="82">
        <v>5291011342</v>
      </c>
      <c r="M418" s="82">
        <v>3221615755</v>
      </c>
      <c r="N418" s="111">
        <f t="shared" si="52"/>
        <v>8512627097</v>
      </c>
      <c r="O418" s="111">
        <f t="shared" si="53"/>
        <v>5944271</v>
      </c>
      <c r="P418" s="111">
        <f t="shared" si="54"/>
        <v>-25242915</v>
      </c>
      <c r="Q418" s="216">
        <v>0</v>
      </c>
    </row>
    <row r="419" spans="9:21">
      <c r="I419" s="205"/>
      <c r="J419" s="111">
        <f t="shared" si="51"/>
        <v>153649923</v>
      </c>
      <c r="K419" s="205" t="s">
        <v>5594</v>
      </c>
      <c r="L419" s="82">
        <v>5444661265</v>
      </c>
      <c r="M419" s="82">
        <v>3324294604</v>
      </c>
      <c r="N419" s="111">
        <f t="shared" si="52"/>
        <v>8768955869</v>
      </c>
      <c r="O419" s="111">
        <f t="shared" si="53"/>
        <v>102678849</v>
      </c>
      <c r="P419" s="111">
        <f t="shared" si="54"/>
        <v>256328772</v>
      </c>
      <c r="Q419" s="216">
        <v>0</v>
      </c>
    </row>
    <row r="420" spans="9:21">
      <c r="I420" s="205"/>
      <c r="J420" s="111">
        <f t="shared" si="51"/>
        <v>137145554</v>
      </c>
      <c r="K420" s="205" t="s">
        <v>4182</v>
      </c>
      <c r="L420" s="82">
        <v>5581806819</v>
      </c>
      <c r="M420" s="82">
        <v>3412581549</v>
      </c>
      <c r="N420" s="111">
        <f t="shared" si="52"/>
        <v>8994388368</v>
      </c>
      <c r="O420" s="111">
        <f t="shared" si="53"/>
        <v>88286945</v>
      </c>
      <c r="P420" s="111">
        <f t="shared" si="54"/>
        <v>225432499</v>
      </c>
      <c r="Q420" s="216">
        <v>0</v>
      </c>
    </row>
    <row r="421" spans="9:21">
      <c r="I421" s="205"/>
      <c r="J421" s="111">
        <f t="shared" si="51"/>
        <v>193856034</v>
      </c>
      <c r="K421" s="205" t="s">
        <v>5596</v>
      </c>
      <c r="L421" s="82">
        <v>5775662853</v>
      </c>
      <c r="M421" s="82">
        <v>3525253290</v>
      </c>
      <c r="N421" s="111">
        <f t="shared" si="52"/>
        <v>9300916143</v>
      </c>
      <c r="O421" s="111">
        <f t="shared" si="53"/>
        <v>112671741</v>
      </c>
      <c r="P421" s="111">
        <f t="shared" si="54"/>
        <v>306527775</v>
      </c>
      <c r="Q421" s="216">
        <v>0</v>
      </c>
    </row>
    <row r="422" spans="9:21">
      <c r="I422" s="205"/>
      <c r="J422" s="111">
        <f t="shared" si="51"/>
        <v>74337147</v>
      </c>
      <c r="K422" s="205" t="s">
        <v>5598</v>
      </c>
      <c r="L422" s="82">
        <v>5850000000</v>
      </c>
      <c r="M422" s="82">
        <v>3570000000</v>
      </c>
      <c r="N422" s="111">
        <f t="shared" si="52"/>
        <v>9420000000</v>
      </c>
      <c r="O422" s="111">
        <f t="shared" si="53"/>
        <v>44746710</v>
      </c>
      <c r="P422" s="111">
        <f t="shared" si="54"/>
        <v>119083857</v>
      </c>
      <c r="Q422" s="216">
        <v>0</v>
      </c>
    </row>
    <row r="423" spans="9:21">
      <c r="I423" s="205"/>
      <c r="J423" s="111">
        <f t="shared" si="51"/>
        <v>50000000</v>
      </c>
      <c r="K423" s="205" t="s">
        <v>5599</v>
      </c>
      <c r="L423" s="82">
        <v>5900000000</v>
      </c>
      <c r="M423" s="82">
        <v>3600000000</v>
      </c>
      <c r="N423" s="111">
        <f t="shared" si="52"/>
        <v>9500000000</v>
      </c>
      <c r="O423" s="111">
        <f t="shared" si="53"/>
        <v>30000000</v>
      </c>
      <c r="P423" s="111">
        <f t="shared" si="54"/>
        <v>80000000</v>
      </c>
      <c r="Q423" s="216">
        <v>0</v>
      </c>
    </row>
    <row r="424" spans="9:21">
      <c r="I424" s="205"/>
      <c r="J424" s="111">
        <f t="shared" si="51"/>
        <v>157818490</v>
      </c>
      <c r="K424" s="205" t="s">
        <v>5600</v>
      </c>
      <c r="L424" s="82">
        <v>6057818490</v>
      </c>
      <c r="M424" s="82">
        <v>3674629787</v>
      </c>
      <c r="N424" s="111">
        <f t="shared" si="52"/>
        <v>9732448277</v>
      </c>
      <c r="O424" s="111">
        <f t="shared" si="53"/>
        <v>74629787</v>
      </c>
      <c r="P424" s="111">
        <f t="shared" si="54"/>
        <v>232448277</v>
      </c>
      <c r="Q424" s="216">
        <v>0</v>
      </c>
    </row>
    <row r="425" spans="9:21">
      <c r="I425" s="205"/>
      <c r="J425" s="111">
        <f t="shared" si="51"/>
        <v>132857927</v>
      </c>
      <c r="K425" s="205" t="s">
        <v>5612</v>
      </c>
      <c r="L425" s="82">
        <v>6190676417</v>
      </c>
      <c r="M425" s="82">
        <v>3729667303</v>
      </c>
      <c r="N425" s="111">
        <f t="shared" si="52"/>
        <v>9920343720</v>
      </c>
      <c r="O425" s="111">
        <f t="shared" si="53"/>
        <v>55037516</v>
      </c>
      <c r="P425" s="111">
        <f t="shared" si="54"/>
        <v>187895443</v>
      </c>
      <c r="Q425" s="216">
        <v>0</v>
      </c>
    </row>
    <row r="426" spans="9:21">
      <c r="I426" s="205"/>
      <c r="J426" s="111">
        <f t="shared" si="51"/>
        <v>91232594</v>
      </c>
      <c r="K426" s="205" t="s">
        <v>5613</v>
      </c>
      <c r="L426" s="82">
        <v>6281909011</v>
      </c>
      <c r="M426" s="82">
        <v>3762010921</v>
      </c>
      <c r="N426" s="111">
        <f t="shared" si="52"/>
        <v>10043919932</v>
      </c>
      <c r="O426" s="111">
        <f t="shared" si="53"/>
        <v>32343618</v>
      </c>
      <c r="P426" s="111">
        <f t="shared" si="54"/>
        <v>123576212</v>
      </c>
      <c r="Q426" s="216">
        <v>0</v>
      </c>
    </row>
    <row r="427" spans="9:21">
      <c r="I427" s="205"/>
      <c r="J427" s="111">
        <f t="shared" si="51"/>
        <v>164439952</v>
      </c>
      <c r="K427" s="205" t="s">
        <v>5615</v>
      </c>
      <c r="L427" s="82">
        <v>6446348963</v>
      </c>
      <c r="M427" s="82">
        <v>3845614899</v>
      </c>
      <c r="N427" s="111">
        <f t="shared" si="52"/>
        <v>10291963862</v>
      </c>
      <c r="O427" s="111">
        <f t="shared" si="53"/>
        <v>83603978</v>
      </c>
      <c r="P427" s="111">
        <f t="shared" si="54"/>
        <v>248043930</v>
      </c>
      <c r="Q427" s="216">
        <v>0</v>
      </c>
      <c r="S427" t="s">
        <v>25</v>
      </c>
    </row>
    <row r="428" spans="9:21">
      <c r="I428" s="205"/>
      <c r="J428" s="111">
        <f t="shared" si="51"/>
        <v>-371447429</v>
      </c>
      <c r="K428" s="205" t="s">
        <v>5619</v>
      </c>
      <c r="L428" s="82">
        <v>6074901534</v>
      </c>
      <c r="M428" s="82">
        <v>3651455158</v>
      </c>
      <c r="N428" s="111">
        <f t="shared" si="52"/>
        <v>9726356692</v>
      </c>
      <c r="O428" s="111">
        <f t="shared" si="53"/>
        <v>-194159741</v>
      </c>
      <c r="P428" s="111">
        <f t="shared" si="54"/>
        <v>-565607170</v>
      </c>
      <c r="Q428" s="216">
        <v>0</v>
      </c>
      <c r="U428" t="s">
        <v>25</v>
      </c>
    </row>
    <row r="429" spans="9:21">
      <c r="I429" s="205"/>
      <c r="J429" s="111">
        <f t="shared" si="51"/>
        <v>10480171</v>
      </c>
      <c r="K429" s="205" t="s">
        <v>5621</v>
      </c>
      <c r="L429" s="82">
        <v>6085381705</v>
      </c>
      <c r="M429" s="82">
        <v>3519278868</v>
      </c>
      <c r="N429" s="111">
        <f t="shared" si="52"/>
        <v>9604660573</v>
      </c>
      <c r="O429" s="111">
        <f t="shared" si="53"/>
        <v>-132176290</v>
      </c>
      <c r="P429" s="111">
        <f t="shared" si="54"/>
        <v>-121696119</v>
      </c>
      <c r="Q429" s="216">
        <v>0</v>
      </c>
    </row>
    <row r="430" spans="9:21">
      <c r="I430" s="205"/>
      <c r="J430" s="111">
        <f t="shared" si="51"/>
        <v>78259044</v>
      </c>
      <c r="K430" s="205" t="s">
        <v>5624</v>
      </c>
      <c r="L430" s="82">
        <v>6163640749</v>
      </c>
      <c r="M430" s="82">
        <v>3565355810</v>
      </c>
      <c r="N430" s="111">
        <f t="shared" si="52"/>
        <v>9728996559</v>
      </c>
      <c r="O430" s="111">
        <f t="shared" si="53"/>
        <v>46076942</v>
      </c>
      <c r="P430" s="111">
        <f t="shared" si="54"/>
        <v>124335986</v>
      </c>
      <c r="Q430" s="216">
        <v>0</v>
      </c>
      <c r="S430" t="s">
        <v>25</v>
      </c>
    </row>
    <row r="431" spans="9:21">
      <c r="I431" s="205"/>
      <c r="J431" s="111">
        <f t="shared" si="51"/>
        <v>49454223</v>
      </c>
      <c r="K431" s="205" t="s">
        <v>5628</v>
      </c>
      <c r="L431" s="82">
        <v>6213094972</v>
      </c>
      <c r="M431" s="82">
        <v>3626911016</v>
      </c>
      <c r="N431" s="111">
        <f t="shared" si="52"/>
        <v>9840005988</v>
      </c>
      <c r="O431" s="111">
        <f t="shared" si="53"/>
        <v>61555206</v>
      </c>
      <c r="P431" s="111">
        <f t="shared" si="54"/>
        <v>111009429</v>
      </c>
      <c r="Q431" s="216">
        <v>0</v>
      </c>
    </row>
    <row r="432" spans="9:21">
      <c r="I432" s="205"/>
      <c r="J432" s="111">
        <f t="shared" si="51"/>
        <v>132208320</v>
      </c>
      <c r="K432" s="205" t="s">
        <v>5630</v>
      </c>
      <c r="L432" s="82">
        <v>6345303292</v>
      </c>
      <c r="M432" s="82">
        <v>3665122650</v>
      </c>
      <c r="N432" s="111">
        <f t="shared" si="52"/>
        <v>10010425942</v>
      </c>
      <c r="O432" s="111">
        <f t="shared" si="53"/>
        <v>38211634</v>
      </c>
      <c r="P432" s="111">
        <f t="shared" si="54"/>
        <v>170419954</v>
      </c>
      <c r="Q432" s="216">
        <v>0</v>
      </c>
    </row>
    <row r="433" spans="9:20">
      <c r="I433" s="205"/>
      <c r="J433" s="111">
        <f t="shared" si="51"/>
        <v>-262982510</v>
      </c>
      <c r="K433" s="205" t="s">
        <v>5634</v>
      </c>
      <c r="L433" s="82">
        <v>6082320782</v>
      </c>
      <c r="M433" s="82">
        <v>3526148342</v>
      </c>
      <c r="N433" s="111">
        <f t="shared" si="52"/>
        <v>9608469124</v>
      </c>
      <c r="O433" s="111">
        <f t="shared" si="53"/>
        <v>-138974308</v>
      </c>
      <c r="P433" s="111">
        <f t="shared" si="54"/>
        <v>-401956818</v>
      </c>
      <c r="Q433" s="216">
        <v>0</v>
      </c>
    </row>
    <row r="434" spans="9:20">
      <c r="I434" s="205"/>
      <c r="J434" s="111">
        <f t="shared" si="51"/>
        <v>-222123228</v>
      </c>
      <c r="K434" s="205" t="s">
        <v>5636</v>
      </c>
      <c r="L434" s="82">
        <v>5860197554</v>
      </c>
      <c r="M434" s="82">
        <v>3397457932</v>
      </c>
      <c r="N434" s="111">
        <f t="shared" si="52"/>
        <v>9257655486</v>
      </c>
      <c r="O434" s="111">
        <f t="shared" si="53"/>
        <v>-128690410</v>
      </c>
      <c r="P434" s="111">
        <f t="shared" si="54"/>
        <v>-350813638</v>
      </c>
      <c r="Q434" s="216">
        <v>0</v>
      </c>
    </row>
    <row r="435" spans="9:20">
      <c r="I435" s="205"/>
      <c r="J435" s="111">
        <f t="shared" si="51"/>
        <v>305950438</v>
      </c>
      <c r="K435" s="205" t="s">
        <v>5638</v>
      </c>
      <c r="L435" s="82">
        <v>6166147992</v>
      </c>
      <c r="M435" s="82">
        <v>3569773836</v>
      </c>
      <c r="N435" s="111">
        <f t="shared" si="52"/>
        <v>9735921828</v>
      </c>
      <c r="O435" s="111">
        <f t="shared" si="53"/>
        <v>172315904</v>
      </c>
      <c r="P435" s="111">
        <f t="shared" si="54"/>
        <v>478266342</v>
      </c>
      <c r="Q435" s="216">
        <v>0</v>
      </c>
    </row>
    <row r="436" spans="9:20">
      <c r="I436" s="205"/>
      <c r="J436" s="111">
        <f t="shared" si="51"/>
        <v>-53034278</v>
      </c>
      <c r="K436" s="205" t="s">
        <v>5639</v>
      </c>
      <c r="L436" s="82">
        <v>6113113714</v>
      </c>
      <c r="M436" s="82">
        <v>3533315565</v>
      </c>
      <c r="N436" s="111">
        <f t="shared" si="52"/>
        <v>9646429279</v>
      </c>
      <c r="O436" s="111">
        <f t="shared" si="53"/>
        <v>-36458271</v>
      </c>
      <c r="P436" s="111">
        <f t="shared" si="54"/>
        <v>-89492549</v>
      </c>
      <c r="Q436" s="216">
        <v>0</v>
      </c>
    </row>
    <row r="437" spans="9:20">
      <c r="I437" s="205"/>
      <c r="J437" s="111">
        <f t="shared" si="51"/>
        <v>-113113714</v>
      </c>
      <c r="K437" s="205" t="s">
        <v>5641</v>
      </c>
      <c r="L437" s="82">
        <v>6000000000</v>
      </c>
      <c r="M437" s="82">
        <v>3400000000</v>
      </c>
      <c r="N437" s="111">
        <f t="shared" si="52"/>
        <v>9400000000</v>
      </c>
      <c r="O437" s="111">
        <f t="shared" si="53"/>
        <v>-133315565</v>
      </c>
      <c r="P437" s="111">
        <f t="shared" si="54"/>
        <v>-246429279</v>
      </c>
      <c r="Q437" s="216">
        <v>0</v>
      </c>
    </row>
    <row r="438" spans="9:20">
      <c r="I438" s="205"/>
      <c r="J438" s="111">
        <f t="shared" si="51"/>
        <v>95898606</v>
      </c>
      <c r="K438" s="205" t="s">
        <v>5642</v>
      </c>
      <c r="L438" s="82">
        <v>6095898606</v>
      </c>
      <c r="M438" s="82">
        <v>3519276285</v>
      </c>
      <c r="N438" s="111">
        <f t="shared" si="52"/>
        <v>9615174891</v>
      </c>
      <c r="O438" s="111">
        <f t="shared" si="53"/>
        <v>119276285</v>
      </c>
      <c r="P438" s="111">
        <f t="shared" si="54"/>
        <v>215174891</v>
      </c>
      <c r="Q438" s="216">
        <v>0</v>
      </c>
      <c r="S438" t="s">
        <v>25</v>
      </c>
    </row>
    <row r="439" spans="9:20">
      <c r="I439" s="205"/>
      <c r="J439" s="111">
        <f t="shared" si="51"/>
        <v>50657083</v>
      </c>
      <c r="K439" s="205" t="s">
        <v>5644</v>
      </c>
      <c r="L439" s="82">
        <v>6146555689</v>
      </c>
      <c r="M439" s="82">
        <v>3519245731</v>
      </c>
      <c r="N439" s="111">
        <f t="shared" si="52"/>
        <v>9665801420</v>
      </c>
      <c r="O439" s="111">
        <f t="shared" si="53"/>
        <v>-30554</v>
      </c>
      <c r="P439" s="111">
        <f t="shared" si="54"/>
        <v>50626529</v>
      </c>
      <c r="Q439" s="216">
        <v>0</v>
      </c>
    </row>
    <row r="440" spans="9:20">
      <c r="I440" s="205"/>
      <c r="J440" s="111">
        <f t="shared" si="51"/>
        <v>6703230</v>
      </c>
      <c r="K440" s="205" t="s">
        <v>5646</v>
      </c>
      <c r="L440" s="82">
        <v>6153258919</v>
      </c>
      <c r="M440" s="82">
        <v>3527498319</v>
      </c>
      <c r="N440" s="111">
        <f t="shared" si="52"/>
        <v>9680757238</v>
      </c>
      <c r="O440" s="111">
        <f t="shared" ref="O440:O462" si="55">M440-M439</f>
        <v>8252588</v>
      </c>
      <c r="P440" s="111">
        <f t="shared" ref="P440:P462" si="56">N440-N439</f>
        <v>14955818</v>
      </c>
      <c r="Q440" s="216">
        <v>0</v>
      </c>
    </row>
    <row r="441" spans="9:20">
      <c r="I441" s="205"/>
      <c r="J441" s="111">
        <f t="shared" si="51"/>
        <v>-182856601</v>
      </c>
      <c r="K441" s="205" t="s">
        <v>5648</v>
      </c>
      <c r="L441" s="82">
        <v>5970402318</v>
      </c>
      <c r="M441" s="82">
        <v>3424484714</v>
      </c>
      <c r="N441" s="111">
        <f t="shared" si="52"/>
        <v>9394887032</v>
      </c>
      <c r="O441" s="111">
        <f t="shared" si="55"/>
        <v>-103013605</v>
      </c>
      <c r="P441" s="111">
        <f t="shared" si="56"/>
        <v>-285870206</v>
      </c>
      <c r="Q441" s="216">
        <v>0</v>
      </c>
    </row>
    <row r="442" spans="9:20">
      <c r="I442" s="205"/>
      <c r="J442" s="111">
        <f t="shared" si="51"/>
        <v>-270402318</v>
      </c>
      <c r="K442" s="205" t="s">
        <v>5650</v>
      </c>
      <c r="L442" s="82">
        <v>5700000000</v>
      </c>
      <c r="M442" s="82">
        <v>3250000000</v>
      </c>
      <c r="N442" s="111">
        <f t="shared" si="52"/>
        <v>8950000000</v>
      </c>
      <c r="O442" s="111">
        <f t="shared" si="55"/>
        <v>-174484714</v>
      </c>
      <c r="P442" s="111">
        <f t="shared" si="56"/>
        <v>-444887032</v>
      </c>
      <c r="Q442" s="216">
        <v>0</v>
      </c>
    </row>
    <row r="443" spans="9:20">
      <c r="I443" s="205"/>
      <c r="J443" s="111">
        <f t="shared" si="51"/>
        <v>-200000000</v>
      </c>
      <c r="K443" s="205" t="s">
        <v>5651</v>
      </c>
      <c r="L443" s="82">
        <v>5500000000</v>
      </c>
      <c r="M443" s="82">
        <v>3150000000</v>
      </c>
      <c r="N443" s="111">
        <f t="shared" si="52"/>
        <v>8650000000</v>
      </c>
      <c r="O443" s="111">
        <f t="shared" si="55"/>
        <v>-100000000</v>
      </c>
      <c r="P443" s="111">
        <f t="shared" si="56"/>
        <v>-300000000</v>
      </c>
      <c r="Q443" s="216">
        <v>0</v>
      </c>
    </row>
    <row r="444" spans="9:20">
      <c r="I444" s="205"/>
      <c r="J444" s="111">
        <f t="shared" si="51"/>
        <v>-227767218</v>
      </c>
      <c r="K444" s="205" t="s">
        <v>5652</v>
      </c>
      <c r="L444" s="82">
        <v>5272232782</v>
      </c>
      <c r="M444" s="82">
        <v>3039233271</v>
      </c>
      <c r="N444" s="111">
        <f t="shared" si="52"/>
        <v>8311466053</v>
      </c>
      <c r="O444" s="111">
        <f t="shared" si="55"/>
        <v>-110766729</v>
      </c>
      <c r="P444" s="111">
        <f t="shared" si="56"/>
        <v>-338533947</v>
      </c>
      <c r="Q444" s="216">
        <v>0</v>
      </c>
    </row>
    <row r="445" spans="9:20">
      <c r="I445" s="205"/>
      <c r="J445" s="111">
        <f t="shared" si="51"/>
        <v>-72232782</v>
      </c>
      <c r="K445" s="205" t="s">
        <v>5661</v>
      </c>
      <c r="L445" s="82">
        <v>5200000000</v>
      </c>
      <c r="M445" s="82">
        <v>3000000000</v>
      </c>
      <c r="N445" s="111">
        <f t="shared" si="52"/>
        <v>8200000000</v>
      </c>
      <c r="O445" s="111">
        <f t="shared" si="55"/>
        <v>-39233271</v>
      </c>
      <c r="P445" s="111">
        <f t="shared" si="56"/>
        <v>-111466053</v>
      </c>
      <c r="Q445" s="216">
        <v>0</v>
      </c>
      <c r="T445" t="s">
        <v>25</v>
      </c>
    </row>
    <row r="446" spans="9:20">
      <c r="I446" s="205"/>
      <c r="J446" s="111">
        <f t="shared" si="51"/>
        <v>-100000000</v>
      </c>
      <c r="K446" s="205" t="s">
        <v>5663</v>
      </c>
      <c r="L446" s="82">
        <v>5100000000</v>
      </c>
      <c r="M446" s="82">
        <v>2900000000</v>
      </c>
      <c r="N446" s="111">
        <f t="shared" si="52"/>
        <v>8000000000</v>
      </c>
      <c r="O446" s="111">
        <f t="shared" si="55"/>
        <v>-100000000</v>
      </c>
      <c r="P446" s="111">
        <f t="shared" si="56"/>
        <v>-200000000</v>
      </c>
      <c r="Q446" s="216">
        <v>0</v>
      </c>
      <c r="T446" t="s">
        <v>25</v>
      </c>
    </row>
    <row r="447" spans="9:20">
      <c r="I447" s="205"/>
      <c r="J447" s="111">
        <f t="shared" si="51"/>
        <v>-100000000</v>
      </c>
      <c r="K447" s="205" t="s">
        <v>5664</v>
      </c>
      <c r="L447" s="82">
        <v>5000000000</v>
      </c>
      <c r="M447" s="82">
        <v>2800000000</v>
      </c>
      <c r="N447" s="111">
        <f t="shared" si="52"/>
        <v>7800000000</v>
      </c>
      <c r="O447" s="111">
        <f t="shared" si="55"/>
        <v>-100000000</v>
      </c>
      <c r="P447" s="111">
        <f t="shared" si="56"/>
        <v>-200000000</v>
      </c>
      <c r="Q447" s="216">
        <v>0</v>
      </c>
    </row>
    <row r="448" spans="9:20">
      <c r="I448" s="205"/>
      <c r="J448" s="111">
        <f t="shared" si="51"/>
        <v>-100000000</v>
      </c>
      <c r="K448" s="205" t="s">
        <v>5675</v>
      </c>
      <c r="L448" s="82">
        <v>4900000000</v>
      </c>
      <c r="M448" s="82">
        <v>2750000000</v>
      </c>
      <c r="N448" s="111">
        <f t="shared" si="52"/>
        <v>7650000000</v>
      </c>
      <c r="O448" s="111">
        <f t="shared" si="55"/>
        <v>-50000000</v>
      </c>
      <c r="P448" s="111">
        <f t="shared" si="56"/>
        <v>-150000000</v>
      </c>
      <c r="Q448" s="216">
        <v>0</v>
      </c>
    </row>
    <row r="449" spans="9:21">
      <c r="I449" s="205"/>
      <c r="J449" s="111">
        <f t="shared" si="51"/>
        <v>-100000000</v>
      </c>
      <c r="K449" s="205" t="s">
        <v>5674</v>
      </c>
      <c r="L449" s="82">
        <v>4800000000</v>
      </c>
      <c r="M449" s="82">
        <v>2700000000</v>
      </c>
      <c r="N449" s="111">
        <f t="shared" si="52"/>
        <v>7500000000</v>
      </c>
      <c r="O449" s="111">
        <f t="shared" si="55"/>
        <v>-50000000</v>
      </c>
      <c r="P449" s="111">
        <f t="shared" si="56"/>
        <v>-150000000</v>
      </c>
      <c r="Q449" s="216">
        <v>0</v>
      </c>
    </row>
    <row r="450" spans="9:21">
      <c r="I450" s="205"/>
      <c r="J450" s="111">
        <f t="shared" si="51"/>
        <v>-50000000</v>
      </c>
      <c r="K450" s="205" t="s">
        <v>5673</v>
      </c>
      <c r="L450" s="82">
        <v>4750000000</v>
      </c>
      <c r="M450" s="82">
        <v>2680000000</v>
      </c>
      <c r="N450" s="111">
        <f t="shared" si="52"/>
        <v>7430000000</v>
      </c>
      <c r="O450" s="111">
        <f t="shared" si="55"/>
        <v>-20000000</v>
      </c>
      <c r="P450" s="111">
        <f t="shared" si="56"/>
        <v>-70000000</v>
      </c>
      <c r="Q450" s="216">
        <v>0</v>
      </c>
    </row>
    <row r="451" spans="9:21">
      <c r="I451" s="205"/>
      <c r="J451" s="111">
        <f t="shared" si="51"/>
        <v>-100000000</v>
      </c>
      <c r="K451" s="205" t="s">
        <v>5667</v>
      </c>
      <c r="L451" s="82">
        <v>4650000000</v>
      </c>
      <c r="M451" s="82">
        <v>2650000000</v>
      </c>
      <c r="N451" s="111">
        <f t="shared" si="52"/>
        <v>7300000000</v>
      </c>
      <c r="O451" s="111">
        <f t="shared" si="55"/>
        <v>-30000000</v>
      </c>
      <c r="P451" s="111">
        <f t="shared" si="56"/>
        <v>-130000000</v>
      </c>
      <c r="Q451" s="216">
        <v>0</v>
      </c>
    </row>
    <row r="452" spans="9:21">
      <c r="I452" s="205"/>
      <c r="J452" s="111">
        <f t="shared" si="51"/>
        <v>-50000000</v>
      </c>
      <c r="K452" s="205" t="s">
        <v>5670</v>
      </c>
      <c r="L452" s="82">
        <v>4600000000</v>
      </c>
      <c r="M452" s="82">
        <v>2600000000</v>
      </c>
      <c r="N452" s="111">
        <f t="shared" si="52"/>
        <v>7200000000</v>
      </c>
      <c r="O452" s="111">
        <f t="shared" si="55"/>
        <v>-50000000</v>
      </c>
      <c r="P452" s="111">
        <f t="shared" si="56"/>
        <v>-100000000</v>
      </c>
      <c r="Q452" s="216">
        <v>0</v>
      </c>
    </row>
    <row r="453" spans="9:21">
      <c r="I453" s="205"/>
      <c r="J453" s="111">
        <f t="shared" si="51"/>
        <v>-100000000</v>
      </c>
      <c r="K453" s="205" t="s">
        <v>5671</v>
      </c>
      <c r="L453" s="82">
        <v>4500000000</v>
      </c>
      <c r="M453" s="82">
        <v>2500000000</v>
      </c>
      <c r="N453" s="111">
        <f t="shared" si="52"/>
        <v>7000000000</v>
      </c>
      <c r="O453" s="111">
        <f t="shared" si="55"/>
        <v>-100000000</v>
      </c>
      <c r="P453" s="111">
        <f t="shared" si="56"/>
        <v>-200000000</v>
      </c>
      <c r="Q453" s="216">
        <v>0</v>
      </c>
    </row>
    <row r="454" spans="9:21">
      <c r="I454" s="187" t="s">
        <v>5677</v>
      </c>
      <c r="J454" s="186">
        <f>L454-L453-260000000</f>
        <v>-241879353</v>
      </c>
      <c r="K454" s="187" t="s">
        <v>5672</v>
      </c>
      <c r="L454" s="220">
        <v>4518120647</v>
      </c>
      <c r="M454" s="220">
        <v>2565627600</v>
      </c>
      <c r="N454" s="186">
        <f t="shared" si="52"/>
        <v>7083748247</v>
      </c>
      <c r="O454" s="186">
        <f>M454-M453-260000</f>
        <v>65367600</v>
      </c>
      <c r="P454" s="186">
        <f>N454-N453-260260000</f>
        <v>-176511753</v>
      </c>
      <c r="Q454" s="283">
        <v>260260000</v>
      </c>
    </row>
    <row r="455" spans="9:21">
      <c r="I455" s="205"/>
      <c r="J455" s="111">
        <f t="shared" si="51"/>
        <v>170536780</v>
      </c>
      <c r="K455" s="205" t="s">
        <v>5676</v>
      </c>
      <c r="L455" s="82">
        <v>4688657427</v>
      </c>
      <c r="M455" s="82">
        <v>2677178495</v>
      </c>
      <c r="N455" s="111">
        <f t="shared" si="52"/>
        <v>7365835922</v>
      </c>
      <c r="O455" s="111">
        <f>M455-M454</f>
        <v>111550895</v>
      </c>
      <c r="P455" s="111">
        <f t="shared" si="56"/>
        <v>282087675</v>
      </c>
      <c r="Q455" s="216">
        <v>0</v>
      </c>
    </row>
    <row r="456" spans="9:21">
      <c r="I456" s="205"/>
      <c r="J456" s="111">
        <f t="shared" si="51"/>
        <v>161342573</v>
      </c>
      <c r="K456" s="205" t="s">
        <v>5678</v>
      </c>
      <c r="L456" s="82">
        <v>4850000000</v>
      </c>
      <c r="M456" s="82">
        <v>2800000000</v>
      </c>
      <c r="N456" s="111">
        <f>L456+M456</f>
        <v>7650000000</v>
      </c>
      <c r="O456" s="111">
        <f t="shared" si="55"/>
        <v>122821505</v>
      </c>
      <c r="P456" s="111">
        <f t="shared" si="56"/>
        <v>284164078</v>
      </c>
      <c r="Q456" s="216">
        <v>0</v>
      </c>
    </row>
    <row r="457" spans="9:21">
      <c r="I457" s="205"/>
      <c r="J457" s="111">
        <f t="shared" si="51"/>
        <v>170000000</v>
      </c>
      <c r="K457" s="205" t="s">
        <v>5679</v>
      </c>
      <c r="L457" s="82">
        <v>5020000000</v>
      </c>
      <c r="M457" s="82">
        <v>2900000000</v>
      </c>
      <c r="N457" s="111">
        <f t="shared" si="52"/>
        <v>7920000000</v>
      </c>
      <c r="O457" s="111">
        <f>M457-M456</f>
        <v>100000000</v>
      </c>
      <c r="P457" s="111">
        <f t="shared" si="56"/>
        <v>270000000</v>
      </c>
      <c r="Q457" s="216">
        <v>0</v>
      </c>
      <c r="U457" t="s">
        <v>25</v>
      </c>
    </row>
    <row r="458" spans="9:21">
      <c r="I458" s="205"/>
      <c r="J458" s="111">
        <f t="shared" si="51"/>
        <v>208597288</v>
      </c>
      <c r="K458" s="205" t="s">
        <v>5680</v>
      </c>
      <c r="L458" s="82">
        <v>5228597288</v>
      </c>
      <c r="M458" s="82">
        <v>3004939240</v>
      </c>
      <c r="N458" s="111">
        <f t="shared" si="52"/>
        <v>8233536528</v>
      </c>
      <c r="O458" s="111">
        <f t="shared" si="55"/>
        <v>104939240</v>
      </c>
      <c r="P458" s="111">
        <f t="shared" si="56"/>
        <v>313536528</v>
      </c>
      <c r="Q458" s="216">
        <v>0</v>
      </c>
    </row>
    <row r="459" spans="9:21">
      <c r="I459" s="205"/>
      <c r="J459" s="111">
        <f t="shared" si="51"/>
        <v>1402712</v>
      </c>
      <c r="K459" s="205" t="s">
        <v>5681</v>
      </c>
      <c r="L459" s="82">
        <v>5230000000</v>
      </c>
      <c r="M459" s="82">
        <v>3016043919</v>
      </c>
      <c r="N459" s="111">
        <f t="shared" si="52"/>
        <v>8246043919</v>
      </c>
      <c r="O459" s="111">
        <f t="shared" si="55"/>
        <v>11104679</v>
      </c>
      <c r="P459" s="111">
        <f t="shared" si="56"/>
        <v>12507391</v>
      </c>
      <c r="Q459" s="216">
        <v>0</v>
      </c>
    </row>
    <row r="460" spans="9:21">
      <c r="I460" s="205"/>
      <c r="J460" s="111">
        <f t="shared" si="51"/>
        <v>120000000</v>
      </c>
      <c r="K460" s="205" t="s">
        <v>5684</v>
      </c>
      <c r="L460" s="82">
        <v>5350000000</v>
      </c>
      <c r="M460" s="82">
        <v>3070000000</v>
      </c>
      <c r="N460" s="111">
        <f t="shared" si="52"/>
        <v>8420000000</v>
      </c>
      <c r="O460" s="111">
        <f t="shared" si="55"/>
        <v>53956081</v>
      </c>
      <c r="P460" s="111">
        <f t="shared" si="56"/>
        <v>173956081</v>
      </c>
      <c r="Q460" s="216">
        <v>0</v>
      </c>
    </row>
    <row r="461" spans="9:21">
      <c r="I461" s="205"/>
      <c r="J461" s="111">
        <f t="shared" si="51"/>
        <v>139527959</v>
      </c>
      <c r="K461" s="205" t="s">
        <v>5685</v>
      </c>
      <c r="L461" s="82">
        <v>5489527959</v>
      </c>
      <c r="M461" s="82">
        <v>3153965043</v>
      </c>
      <c r="N461" s="111">
        <f t="shared" si="52"/>
        <v>8643493002</v>
      </c>
      <c r="O461" s="111">
        <f t="shared" si="55"/>
        <v>83965043</v>
      </c>
      <c r="P461" s="111">
        <f t="shared" si="56"/>
        <v>223493002</v>
      </c>
      <c r="Q461" s="216">
        <v>0</v>
      </c>
    </row>
    <row r="462" spans="9:21">
      <c r="I462" s="205"/>
      <c r="J462" s="111">
        <f t="shared" si="51"/>
        <v>-240277409</v>
      </c>
      <c r="K462" s="205" t="s">
        <v>5686</v>
      </c>
      <c r="L462" s="82">
        <v>5249250550</v>
      </c>
      <c r="M462" s="82">
        <v>3012364507</v>
      </c>
      <c r="N462" s="111">
        <f t="shared" si="52"/>
        <v>8261615057</v>
      </c>
      <c r="O462" s="111">
        <f t="shared" si="55"/>
        <v>-141600536</v>
      </c>
      <c r="P462" s="111">
        <f t="shared" si="56"/>
        <v>-381877945</v>
      </c>
      <c r="Q462" s="216">
        <v>0</v>
      </c>
    </row>
    <row r="463" spans="9:21">
      <c r="I463" s="205"/>
      <c r="J463" s="111">
        <f t="shared" si="51"/>
        <v>136702023</v>
      </c>
      <c r="K463" s="205" t="s">
        <v>5687</v>
      </c>
      <c r="L463" s="82">
        <v>5385952573</v>
      </c>
      <c r="M463" s="82">
        <v>3077089830</v>
      </c>
      <c r="N463" s="111">
        <f t="shared" ref="N463:N526" si="57">L463+M463</f>
        <v>8463042403</v>
      </c>
      <c r="O463" s="111">
        <f t="shared" ref="O463:O526" si="58">M463-M462</f>
        <v>64725323</v>
      </c>
      <c r="P463" s="111">
        <f t="shared" ref="P463:P526" si="59">N463-N462</f>
        <v>201427346</v>
      </c>
      <c r="Q463" s="216">
        <v>0</v>
      </c>
    </row>
    <row r="464" spans="9:21">
      <c r="I464" s="205"/>
      <c r="J464" s="111">
        <f t="shared" si="51"/>
        <v>298648373</v>
      </c>
      <c r="K464" s="205" t="s">
        <v>5688</v>
      </c>
      <c r="L464" s="82">
        <v>5684600946</v>
      </c>
      <c r="M464" s="82">
        <v>3223570500</v>
      </c>
      <c r="N464" s="111">
        <f t="shared" si="57"/>
        <v>8908171446</v>
      </c>
      <c r="O464" s="111">
        <f t="shared" si="58"/>
        <v>146480670</v>
      </c>
      <c r="P464" s="111">
        <f t="shared" si="59"/>
        <v>445129043</v>
      </c>
      <c r="Q464" s="216">
        <v>0</v>
      </c>
    </row>
    <row r="465" spans="9:19">
      <c r="I465" s="187" t="s">
        <v>5691</v>
      </c>
      <c r="J465" s="186">
        <f t="shared" si="51"/>
        <v>221604304</v>
      </c>
      <c r="K465" s="187" t="s">
        <v>963</v>
      </c>
      <c r="L465" s="220">
        <v>5906205250</v>
      </c>
      <c r="M465" s="220">
        <v>3345406425</v>
      </c>
      <c r="N465" s="186">
        <f t="shared" si="57"/>
        <v>9251611675</v>
      </c>
      <c r="O465" s="186">
        <f>M465-M464-11221062</f>
        <v>110614863</v>
      </c>
      <c r="P465" s="186">
        <f>N465-N464-11221062</f>
        <v>332219167</v>
      </c>
      <c r="Q465" s="283">
        <v>11221062</v>
      </c>
    </row>
    <row r="466" spans="9:19">
      <c r="I466" s="205"/>
      <c r="J466" s="111">
        <f t="shared" si="51"/>
        <v>154663604</v>
      </c>
      <c r="K466" s="205" t="s">
        <v>5694</v>
      </c>
      <c r="L466" s="82">
        <v>6060868854</v>
      </c>
      <c r="M466" s="82">
        <v>3464205093</v>
      </c>
      <c r="N466" s="111">
        <f t="shared" si="57"/>
        <v>9525073947</v>
      </c>
      <c r="O466" s="111">
        <f t="shared" si="58"/>
        <v>118798668</v>
      </c>
      <c r="P466" s="111">
        <f t="shared" si="59"/>
        <v>273462272</v>
      </c>
      <c r="Q466" s="216">
        <v>0</v>
      </c>
    </row>
    <row r="467" spans="9:19">
      <c r="I467" s="205"/>
      <c r="J467" s="111">
        <f t="shared" si="51"/>
        <v>83019771</v>
      </c>
      <c r="K467" s="205" t="s">
        <v>5695</v>
      </c>
      <c r="L467" s="82">
        <v>6143888625</v>
      </c>
      <c r="M467" s="82">
        <v>3526728170</v>
      </c>
      <c r="N467" s="111">
        <f t="shared" si="57"/>
        <v>9670616795</v>
      </c>
      <c r="O467" s="111">
        <f t="shared" si="58"/>
        <v>62523077</v>
      </c>
      <c r="P467" s="111">
        <f t="shared" si="59"/>
        <v>145542848</v>
      </c>
      <c r="Q467" s="216">
        <v>0</v>
      </c>
    </row>
    <row r="468" spans="9:19">
      <c r="I468" s="205" t="s">
        <v>5698</v>
      </c>
      <c r="J468" s="111">
        <f>L468-L467-20000</f>
        <v>-31443260</v>
      </c>
      <c r="K468" s="205" t="s">
        <v>5697</v>
      </c>
      <c r="L468" s="82">
        <v>6112465365</v>
      </c>
      <c r="M468" s="82">
        <v>3518318740</v>
      </c>
      <c r="N468" s="111">
        <f t="shared" si="57"/>
        <v>9630784105</v>
      </c>
      <c r="O468" s="111">
        <f>M468-M467-20000</f>
        <v>-8429430</v>
      </c>
      <c r="P468" s="111">
        <f>N468-N467-40000</f>
        <v>-39872690</v>
      </c>
      <c r="Q468" s="216">
        <v>40000</v>
      </c>
    </row>
    <row r="469" spans="9:19">
      <c r="I469" s="205"/>
      <c r="J469" s="111">
        <f t="shared" si="51"/>
        <v>111131586</v>
      </c>
      <c r="K469" s="205" t="s">
        <v>5700</v>
      </c>
      <c r="L469" s="82">
        <v>6223596951</v>
      </c>
      <c r="M469" s="82">
        <v>3546763930</v>
      </c>
      <c r="N469" s="111">
        <f t="shared" si="57"/>
        <v>9770360881</v>
      </c>
      <c r="O469" s="111">
        <f t="shared" si="58"/>
        <v>28445190</v>
      </c>
      <c r="P469" s="111">
        <f t="shared" si="59"/>
        <v>139576776</v>
      </c>
      <c r="Q469" s="216">
        <v>0</v>
      </c>
    </row>
    <row r="470" spans="9:19">
      <c r="I470" s="205"/>
      <c r="J470" s="111">
        <f t="shared" si="51"/>
        <v>16690857</v>
      </c>
      <c r="K470" s="205" t="s">
        <v>5701</v>
      </c>
      <c r="L470" s="82">
        <v>6240287808</v>
      </c>
      <c r="M470" s="82">
        <v>3546015346</v>
      </c>
      <c r="N470" s="111">
        <f t="shared" si="57"/>
        <v>9786303154</v>
      </c>
      <c r="O470" s="111">
        <f t="shared" si="58"/>
        <v>-748584</v>
      </c>
      <c r="P470" s="111">
        <f t="shared" si="59"/>
        <v>15942273</v>
      </c>
      <c r="Q470" s="216">
        <v>0</v>
      </c>
    </row>
    <row r="471" spans="9:19">
      <c r="I471" s="205"/>
      <c r="J471" s="111">
        <f t="shared" si="51"/>
        <v>-226671269</v>
      </c>
      <c r="K471" s="205" t="s">
        <v>5702</v>
      </c>
      <c r="L471" s="82">
        <v>6013616539</v>
      </c>
      <c r="M471" s="82">
        <v>3413915060</v>
      </c>
      <c r="N471" s="111">
        <f t="shared" si="57"/>
        <v>9427531599</v>
      </c>
      <c r="O471" s="111">
        <f t="shared" si="58"/>
        <v>-132100286</v>
      </c>
      <c r="P471" s="111">
        <f t="shared" si="59"/>
        <v>-358771555</v>
      </c>
      <c r="Q471" s="216">
        <v>0</v>
      </c>
      <c r="R471" t="s">
        <v>25</v>
      </c>
    </row>
    <row r="472" spans="9:19">
      <c r="I472" s="205" t="s">
        <v>5704</v>
      </c>
      <c r="J472" s="111">
        <f>L472-L471-70000</f>
        <v>-63686539</v>
      </c>
      <c r="K472" s="205" t="s">
        <v>5703</v>
      </c>
      <c r="L472" s="82">
        <v>5950000000</v>
      </c>
      <c r="M472" s="82">
        <v>3380000000</v>
      </c>
      <c r="N472" s="111">
        <f t="shared" si="57"/>
        <v>9330000000</v>
      </c>
      <c r="O472" s="111">
        <f>M472-M471-70000</f>
        <v>-33985060</v>
      </c>
      <c r="P472" s="111">
        <f>N472-N471-140000</f>
        <v>-97671599</v>
      </c>
      <c r="Q472" s="216">
        <v>140000</v>
      </c>
    </row>
    <row r="473" spans="9:19">
      <c r="I473" s="205" t="s">
        <v>5710</v>
      </c>
      <c r="J473" s="111">
        <f>L473-L472-330000</f>
        <v>-62693116</v>
      </c>
      <c r="K473" s="205" t="s">
        <v>5709</v>
      </c>
      <c r="L473" s="82">
        <v>5887636884</v>
      </c>
      <c r="M473" s="82">
        <v>3350000000</v>
      </c>
      <c r="N473" s="111">
        <f t="shared" si="57"/>
        <v>9237636884</v>
      </c>
      <c r="O473" s="111">
        <f>M473-M472-330000</f>
        <v>-30330000</v>
      </c>
      <c r="P473" s="111">
        <f>N473-N472-660000</f>
        <v>-93023116</v>
      </c>
      <c r="Q473" s="216">
        <v>660000</v>
      </c>
    </row>
    <row r="474" spans="9:19">
      <c r="I474" s="205"/>
      <c r="J474" s="111">
        <f t="shared" si="51"/>
        <v>152162052</v>
      </c>
      <c r="K474" s="205" t="s">
        <v>5712</v>
      </c>
      <c r="L474" s="82">
        <v>6039798936</v>
      </c>
      <c r="M474" s="82">
        <v>3412399754</v>
      </c>
      <c r="N474" s="111">
        <f t="shared" si="57"/>
        <v>9452198690</v>
      </c>
      <c r="O474" s="111">
        <f t="shared" si="58"/>
        <v>62399754</v>
      </c>
      <c r="P474" s="111">
        <f t="shared" si="59"/>
        <v>214561806</v>
      </c>
      <c r="Q474" s="216">
        <v>0</v>
      </c>
    </row>
    <row r="475" spans="9:19">
      <c r="I475" s="205" t="s">
        <v>25</v>
      </c>
      <c r="J475" s="111">
        <f t="shared" si="51"/>
        <v>-229469487</v>
      </c>
      <c r="K475" s="205" t="s">
        <v>5719</v>
      </c>
      <c r="L475" s="82">
        <v>5810329449</v>
      </c>
      <c r="M475" s="82">
        <v>3271406236</v>
      </c>
      <c r="N475" s="111">
        <f t="shared" si="57"/>
        <v>9081735685</v>
      </c>
      <c r="O475" s="111">
        <f t="shared" si="58"/>
        <v>-140993518</v>
      </c>
      <c r="P475" s="111">
        <f t="shared" si="59"/>
        <v>-370463005</v>
      </c>
      <c r="R475" t="s">
        <v>25</v>
      </c>
    </row>
    <row r="476" spans="9:19">
      <c r="I476" s="205"/>
      <c r="J476" s="111">
        <f t="shared" si="51"/>
        <v>-5810329449</v>
      </c>
      <c r="K476" s="205"/>
      <c r="L476" s="82"/>
      <c r="M476" s="82"/>
      <c r="N476" s="111">
        <f t="shared" si="57"/>
        <v>0</v>
      </c>
      <c r="O476" s="111">
        <f t="shared" si="58"/>
        <v>-3271406236</v>
      </c>
      <c r="P476" s="111">
        <f t="shared" si="59"/>
        <v>-9081735685</v>
      </c>
    </row>
    <row r="477" spans="9:19">
      <c r="I477" s="205"/>
      <c r="J477" s="111">
        <f t="shared" si="51"/>
        <v>0</v>
      </c>
      <c r="K477" s="205"/>
      <c r="L477" s="82"/>
      <c r="M477" s="82"/>
      <c r="N477" s="111">
        <f t="shared" si="57"/>
        <v>0</v>
      </c>
      <c r="O477" s="111">
        <f t="shared" si="58"/>
        <v>0</v>
      </c>
      <c r="P477" s="111">
        <f t="shared" si="59"/>
        <v>0</v>
      </c>
    </row>
    <row r="478" spans="9:19">
      <c r="I478" s="205"/>
      <c r="J478" s="111">
        <f t="shared" si="51"/>
        <v>0</v>
      </c>
      <c r="K478" s="205"/>
      <c r="L478" s="82"/>
      <c r="M478" s="82"/>
      <c r="N478" s="111">
        <f t="shared" si="57"/>
        <v>0</v>
      </c>
      <c r="O478" s="111">
        <f t="shared" si="58"/>
        <v>0</v>
      </c>
      <c r="P478" s="111">
        <f t="shared" si="59"/>
        <v>0</v>
      </c>
      <c r="S478" t="s">
        <v>25</v>
      </c>
    </row>
    <row r="479" spans="9:19">
      <c r="I479" s="205"/>
      <c r="J479" s="111">
        <f t="shared" si="51"/>
        <v>0</v>
      </c>
      <c r="K479" s="205"/>
      <c r="L479" s="82"/>
      <c r="M479" s="82"/>
      <c r="N479" s="111">
        <f t="shared" si="57"/>
        <v>0</v>
      </c>
      <c r="O479" s="111">
        <f t="shared" si="58"/>
        <v>0</v>
      </c>
      <c r="P479" s="111">
        <f t="shared" si="59"/>
        <v>0</v>
      </c>
    </row>
    <row r="480" spans="9:19">
      <c r="I480" s="205"/>
      <c r="J480" s="111">
        <f t="shared" si="51"/>
        <v>0</v>
      </c>
      <c r="K480" s="205"/>
      <c r="L480" s="82"/>
      <c r="M480" s="82"/>
      <c r="N480" s="111">
        <f t="shared" si="57"/>
        <v>0</v>
      </c>
      <c r="O480" s="111">
        <f t="shared" si="58"/>
        <v>0</v>
      </c>
      <c r="P480" s="111">
        <f t="shared" si="59"/>
        <v>0</v>
      </c>
    </row>
    <row r="481" spans="9:16">
      <c r="I481" s="205"/>
      <c r="J481" s="111">
        <f t="shared" si="51"/>
        <v>0</v>
      </c>
      <c r="K481" s="205"/>
      <c r="L481" s="82"/>
      <c r="M481" s="82"/>
      <c r="N481" s="111">
        <f t="shared" si="57"/>
        <v>0</v>
      </c>
      <c r="O481" s="111">
        <f t="shared" si="58"/>
        <v>0</v>
      </c>
      <c r="P481" s="111">
        <f t="shared" si="59"/>
        <v>0</v>
      </c>
    </row>
    <row r="482" spans="9:16">
      <c r="I482" s="205"/>
      <c r="J482" s="111">
        <f t="shared" si="51"/>
        <v>0</v>
      </c>
      <c r="K482" s="205"/>
      <c r="L482" s="82"/>
      <c r="M482" s="82"/>
      <c r="N482" s="111">
        <f t="shared" si="57"/>
        <v>0</v>
      </c>
      <c r="O482" s="111">
        <f t="shared" si="58"/>
        <v>0</v>
      </c>
      <c r="P482" s="111">
        <f t="shared" si="59"/>
        <v>0</v>
      </c>
    </row>
    <row r="483" spans="9:16">
      <c r="I483" s="205"/>
      <c r="J483" s="111">
        <f t="shared" si="51"/>
        <v>0</v>
      </c>
      <c r="K483" s="205"/>
      <c r="L483" s="82"/>
      <c r="M483" s="82"/>
      <c r="N483" s="111">
        <f t="shared" si="57"/>
        <v>0</v>
      </c>
      <c r="O483" s="111">
        <f t="shared" si="58"/>
        <v>0</v>
      </c>
      <c r="P483" s="111">
        <f t="shared" si="59"/>
        <v>0</v>
      </c>
    </row>
    <row r="484" spans="9:16">
      <c r="I484" s="205"/>
      <c r="J484" s="111">
        <f t="shared" si="51"/>
        <v>0</v>
      </c>
      <c r="K484" s="205"/>
      <c r="L484" s="82"/>
      <c r="M484" s="82"/>
      <c r="N484" s="111">
        <f t="shared" si="57"/>
        <v>0</v>
      </c>
      <c r="O484" s="111">
        <f t="shared" si="58"/>
        <v>0</v>
      </c>
      <c r="P484" s="111">
        <f t="shared" si="59"/>
        <v>0</v>
      </c>
    </row>
    <row r="485" spans="9:16">
      <c r="I485" s="205"/>
      <c r="J485" s="111">
        <f t="shared" si="51"/>
        <v>0</v>
      </c>
      <c r="K485" s="205"/>
      <c r="L485" s="82"/>
      <c r="M485" s="82"/>
      <c r="N485" s="111">
        <f t="shared" si="57"/>
        <v>0</v>
      </c>
      <c r="O485" s="111">
        <f t="shared" si="58"/>
        <v>0</v>
      </c>
      <c r="P485" s="111">
        <f t="shared" si="59"/>
        <v>0</v>
      </c>
    </row>
    <row r="486" spans="9:16">
      <c r="I486" s="205"/>
      <c r="J486" s="111">
        <f t="shared" si="51"/>
        <v>0</v>
      </c>
      <c r="K486" s="205"/>
      <c r="L486" s="82"/>
      <c r="M486" s="82"/>
      <c r="N486" s="111">
        <f t="shared" si="57"/>
        <v>0</v>
      </c>
      <c r="O486" s="111">
        <f t="shared" si="58"/>
        <v>0</v>
      </c>
      <c r="P486" s="111">
        <f t="shared" si="59"/>
        <v>0</v>
      </c>
    </row>
    <row r="487" spans="9:16">
      <c r="I487" s="205"/>
      <c r="J487" s="111">
        <f t="shared" si="51"/>
        <v>0</v>
      </c>
      <c r="K487" s="205"/>
      <c r="L487" s="82"/>
      <c r="M487" s="82"/>
      <c r="N487" s="111">
        <f t="shared" si="57"/>
        <v>0</v>
      </c>
      <c r="O487" s="111">
        <f t="shared" si="58"/>
        <v>0</v>
      </c>
      <c r="P487" s="111">
        <f t="shared" si="59"/>
        <v>0</v>
      </c>
    </row>
    <row r="488" spans="9:16">
      <c r="I488" s="205"/>
      <c r="J488" s="111">
        <f t="shared" si="51"/>
        <v>0</v>
      </c>
      <c r="K488" s="205"/>
      <c r="L488" s="82"/>
      <c r="M488" s="82"/>
      <c r="N488" s="111">
        <f t="shared" si="57"/>
        <v>0</v>
      </c>
      <c r="O488" s="111">
        <f t="shared" si="58"/>
        <v>0</v>
      </c>
      <c r="P488" s="111">
        <f t="shared" si="59"/>
        <v>0</v>
      </c>
    </row>
    <row r="489" spans="9:16">
      <c r="I489" s="205"/>
      <c r="J489" s="111">
        <f t="shared" si="51"/>
        <v>0</v>
      </c>
      <c r="K489" s="205"/>
      <c r="L489" s="82"/>
      <c r="M489" s="82"/>
      <c r="N489" s="111">
        <f t="shared" si="57"/>
        <v>0</v>
      </c>
      <c r="O489" s="111">
        <f t="shared" si="58"/>
        <v>0</v>
      </c>
      <c r="P489" s="111">
        <f t="shared" si="59"/>
        <v>0</v>
      </c>
    </row>
    <row r="490" spans="9:16">
      <c r="I490" s="205"/>
      <c r="J490" s="111">
        <f t="shared" si="51"/>
        <v>0</v>
      </c>
      <c r="K490" s="205"/>
      <c r="L490" s="82"/>
      <c r="M490" s="82"/>
      <c r="N490" s="111">
        <f t="shared" si="57"/>
        <v>0</v>
      </c>
      <c r="O490" s="111">
        <f t="shared" si="58"/>
        <v>0</v>
      </c>
      <c r="P490" s="111">
        <f t="shared" si="59"/>
        <v>0</v>
      </c>
    </row>
    <row r="491" spans="9:16">
      <c r="I491" s="205"/>
      <c r="J491" s="111">
        <f t="shared" si="51"/>
        <v>0</v>
      </c>
      <c r="K491" s="205"/>
      <c r="L491" s="82"/>
      <c r="M491" s="82"/>
      <c r="N491" s="111">
        <f t="shared" si="57"/>
        <v>0</v>
      </c>
      <c r="O491" s="111">
        <f t="shared" si="58"/>
        <v>0</v>
      </c>
      <c r="P491" s="111">
        <f t="shared" si="59"/>
        <v>0</v>
      </c>
    </row>
    <row r="492" spans="9:16">
      <c r="I492" s="205"/>
      <c r="J492" s="111">
        <f t="shared" si="51"/>
        <v>0</v>
      </c>
      <c r="K492" s="205"/>
      <c r="L492" s="82"/>
      <c r="M492" s="82"/>
      <c r="N492" s="111">
        <f t="shared" si="57"/>
        <v>0</v>
      </c>
      <c r="O492" s="111">
        <f t="shared" si="58"/>
        <v>0</v>
      </c>
      <c r="P492" s="111">
        <f t="shared" si="59"/>
        <v>0</v>
      </c>
    </row>
    <row r="493" spans="9:16">
      <c r="I493" s="205"/>
      <c r="J493" s="111">
        <f t="shared" si="51"/>
        <v>0</v>
      </c>
      <c r="K493" s="205"/>
      <c r="L493" s="82"/>
      <c r="M493" s="82"/>
      <c r="N493" s="111">
        <f t="shared" si="57"/>
        <v>0</v>
      </c>
      <c r="O493" s="111">
        <f t="shared" si="58"/>
        <v>0</v>
      </c>
      <c r="P493" s="111">
        <f t="shared" si="59"/>
        <v>0</v>
      </c>
    </row>
    <row r="494" spans="9:16">
      <c r="I494" s="205"/>
      <c r="J494" s="111">
        <f t="shared" si="51"/>
        <v>0</v>
      </c>
      <c r="K494" s="205"/>
      <c r="L494" s="82"/>
      <c r="M494" s="82"/>
      <c r="N494" s="111">
        <f t="shared" si="57"/>
        <v>0</v>
      </c>
      <c r="O494" s="111">
        <f t="shared" si="58"/>
        <v>0</v>
      </c>
      <c r="P494" s="111">
        <f t="shared" si="59"/>
        <v>0</v>
      </c>
    </row>
    <row r="495" spans="9:16">
      <c r="I495" s="205"/>
      <c r="J495" s="111">
        <f t="shared" si="51"/>
        <v>0</v>
      </c>
      <c r="K495" s="205"/>
      <c r="L495" s="82"/>
      <c r="M495" s="82"/>
      <c r="N495" s="111">
        <f t="shared" si="57"/>
        <v>0</v>
      </c>
      <c r="O495" s="111">
        <f t="shared" si="58"/>
        <v>0</v>
      </c>
      <c r="P495" s="111">
        <f t="shared" si="59"/>
        <v>0</v>
      </c>
    </row>
    <row r="496" spans="9:16">
      <c r="I496" s="205"/>
      <c r="J496" s="111">
        <f t="shared" si="51"/>
        <v>0</v>
      </c>
      <c r="K496" s="205"/>
      <c r="L496" s="82"/>
      <c r="M496" s="82"/>
      <c r="N496" s="111">
        <f t="shared" si="57"/>
        <v>0</v>
      </c>
      <c r="O496" s="111">
        <f t="shared" si="58"/>
        <v>0</v>
      </c>
      <c r="P496" s="111">
        <f t="shared" si="59"/>
        <v>0</v>
      </c>
    </row>
    <row r="497" spans="9:16">
      <c r="I497" s="205"/>
      <c r="J497" s="111">
        <f t="shared" si="51"/>
        <v>0</v>
      </c>
      <c r="K497" s="205"/>
      <c r="L497" s="82"/>
      <c r="M497" s="82"/>
      <c r="N497" s="111">
        <f t="shared" si="57"/>
        <v>0</v>
      </c>
      <c r="O497" s="111">
        <f t="shared" si="58"/>
        <v>0</v>
      </c>
      <c r="P497" s="111">
        <f t="shared" si="59"/>
        <v>0</v>
      </c>
    </row>
    <row r="498" spans="9:16">
      <c r="I498" s="205"/>
      <c r="J498" s="111">
        <f t="shared" si="51"/>
        <v>0</v>
      </c>
      <c r="K498" s="205"/>
      <c r="L498" s="82"/>
      <c r="M498" s="82"/>
      <c r="N498" s="111">
        <f t="shared" si="57"/>
        <v>0</v>
      </c>
      <c r="O498" s="111">
        <f t="shared" si="58"/>
        <v>0</v>
      </c>
      <c r="P498" s="111">
        <f t="shared" si="59"/>
        <v>0</v>
      </c>
    </row>
    <row r="499" spans="9:16">
      <c r="I499" s="205"/>
      <c r="J499" s="111">
        <f t="shared" si="51"/>
        <v>0</v>
      </c>
      <c r="K499" s="205"/>
      <c r="L499" s="82"/>
      <c r="M499" s="82"/>
      <c r="N499" s="111">
        <f t="shared" si="57"/>
        <v>0</v>
      </c>
      <c r="O499" s="111">
        <f t="shared" si="58"/>
        <v>0</v>
      </c>
      <c r="P499" s="111">
        <f t="shared" si="59"/>
        <v>0</v>
      </c>
    </row>
    <row r="500" spans="9:16">
      <c r="I500" s="205"/>
      <c r="J500" s="111">
        <f t="shared" si="51"/>
        <v>0</v>
      </c>
      <c r="K500" s="205"/>
      <c r="L500" s="82"/>
      <c r="M500" s="82"/>
      <c r="N500" s="111">
        <f t="shared" si="57"/>
        <v>0</v>
      </c>
      <c r="O500" s="111">
        <f t="shared" si="58"/>
        <v>0</v>
      </c>
      <c r="P500" s="111">
        <f t="shared" si="59"/>
        <v>0</v>
      </c>
    </row>
    <row r="501" spans="9:16">
      <c r="I501" s="205"/>
      <c r="J501" s="111">
        <f t="shared" si="51"/>
        <v>0</v>
      </c>
      <c r="K501" s="205"/>
      <c r="L501" s="82"/>
      <c r="M501" s="82"/>
      <c r="N501" s="111">
        <f t="shared" si="57"/>
        <v>0</v>
      </c>
      <c r="O501" s="111">
        <f t="shared" si="58"/>
        <v>0</v>
      </c>
      <c r="P501" s="111">
        <f t="shared" si="59"/>
        <v>0</v>
      </c>
    </row>
    <row r="502" spans="9:16">
      <c r="I502" s="205"/>
      <c r="J502" s="111">
        <f t="shared" si="51"/>
        <v>0</v>
      </c>
      <c r="K502" s="205"/>
      <c r="L502" s="82"/>
      <c r="M502" s="82"/>
      <c r="N502" s="111">
        <f t="shared" si="57"/>
        <v>0</v>
      </c>
      <c r="O502" s="111">
        <f t="shared" si="58"/>
        <v>0</v>
      </c>
      <c r="P502" s="111">
        <f t="shared" si="59"/>
        <v>0</v>
      </c>
    </row>
    <row r="503" spans="9:16">
      <c r="I503" s="205"/>
      <c r="J503" s="111">
        <f t="shared" si="51"/>
        <v>0</v>
      </c>
      <c r="K503" s="205"/>
      <c r="L503" s="82"/>
      <c r="M503" s="82"/>
      <c r="N503" s="111">
        <f t="shared" si="57"/>
        <v>0</v>
      </c>
      <c r="O503" s="111">
        <f t="shared" si="58"/>
        <v>0</v>
      </c>
      <c r="P503" s="111">
        <f t="shared" si="59"/>
        <v>0</v>
      </c>
    </row>
    <row r="504" spans="9:16">
      <c r="I504" s="205"/>
      <c r="J504" s="111">
        <f t="shared" si="51"/>
        <v>0</v>
      </c>
      <c r="K504" s="205"/>
      <c r="L504" s="82"/>
      <c r="M504" s="82"/>
      <c r="N504" s="111">
        <f t="shared" si="57"/>
        <v>0</v>
      </c>
      <c r="O504" s="111">
        <f t="shared" si="58"/>
        <v>0</v>
      </c>
      <c r="P504" s="111">
        <f t="shared" si="59"/>
        <v>0</v>
      </c>
    </row>
    <row r="505" spans="9:16">
      <c r="I505" s="205"/>
      <c r="J505" s="111">
        <f t="shared" si="51"/>
        <v>0</v>
      </c>
      <c r="K505" s="205"/>
      <c r="L505" s="82"/>
      <c r="M505" s="82"/>
      <c r="N505" s="111">
        <f t="shared" si="57"/>
        <v>0</v>
      </c>
      <c r="O505" s="111">
        <f t="shared" si="58"/>
        <v>0</v>
      </c>
      <c r="P505" s="111">
        <f t="shared" si="59"/>
        <v>0</v>
      </c>
    </row>
    <row r="506" spans="9:16">
      <c r="I506" s="205"/>
      <c r="J506" s="111">
        <f t="shared" si="51"/>
        <v>0</v>
      </c>
      <c r="K506" s="205"/>
      <c r="L506" s="82"/>
      <c r="M506" s="82"/>
      <c r="N506" s="111">
        <f t="shared" si="57"/>
        <v>0</v>
      </c>
      <c r="O506" s="111">
        <f t="shared" si="58"/>
        <v>0</v>
      </c>
      <c r="P506" s="111">
        <f t="shared" si="59"/>
        <v>0</v>
      </c>
    </row>
    <row r="507" spans="9:16">
      <c r="I507" s="205"/>
      <c r="J507" s="111">
        <f t="shared" si="51"/>
        <v>0</v>
      </c>
      <c r="K507" s="205"/>
      <c r="L507" s="82"/>
      <c r="M507" s="82"/>
      <c r="N507" s="111">
        <f t="shared" si="57"/>
        <v>0</v>
      </c>
      <c r="O507" s="111">
        <f t="shared" si="58"/>
        <v>0</v>
      </c>
      <c r="P507" s="111">
        <f t="shared" si="59"/>
        <v>0</v>
      </c>
    </row>
    <row r="508" spans="9:16">
      <c r="I508" s="205"/>
      <c r="J508" s="111">
        <f t="shared" si="51"/>
        <v>0</v>
      </c>
      <c r="K508" s="205"/>
      <c r="L508" s="82"/>
      <c r="M508" s="82"/>
      <c r="N508" s="111">
        <f t="shared" si="57"/>
        <v>0</v>
      </c>
      <c r="O508" s="111">
        <f t="shared" si="58"/>
        <v>0</v>
      </c>
      <c r="P508" s="111">
        <f t="shared" si="59"/>
        <v>0</v>
      </c>
    </row>
    <row r="509" spans="9:16">
      <c r="I509" s="205"/>
      <c r="J509" s="111">
        <f t="shared" si="51"/>
        <v>0</v>
      </c>
      <c r="K509" s="205"/>
      <c r="L509" s="82"/>
      <c r="M509" s="82"/>
      <c r="N509" s="111">
        <f t="shared" si="57"/>
        <v>0</v>
      </c>
      <c r="O509" s="111">
        <f t="shared" si="58"/>
        <v>0</v>
      </c>
      <c r="P509" s="111">
        <f t="shared" si="59"/>
        <v>0</v>
      </c>
    </row>
    <row r="510" spans="9:16">
      <c r="I510" s="205"/>
      <c r="J510" s="111">
        <f t="shared" si="51"/>
        <v>0</v>
      </c>
      <c r="K510" s="205"/>
      <c r="L510" s="82"/>
      <c r="M510" s="82"/>
      <c r="N510" s="111">
        <f t="shared" si="57"/>
        <v>0</v>
      </c>
      <c r="O510" s="111">
        <f t="shared" si="58"/>
        <v>0</v>
      </c>
      <c r="P510" s="111">
        <f t="shared" si="59"/>
        <v>0</v>
      </c>
    </row>
    <row r="511" spans="9:16">
      <c r="I511" s="205"/>
      <c r="J511" s="111">
        <f t="shared" si="51"/>
        <v>0</v>
      </c>
      <c r="K511" s="205"/>
      <c r="L511" s="82"/>
      <c r="M511" s="82"/>
      <c r="N511" s="111">
        <f t="shared" si="57"/>
        <v>0</v>
      </c>
      <c r="O511" s="111">
        <f t="shared" si="58"/>
        <v>0</v>
      </c>
      <c r="P511" s="111">
        <f t="shared" si="59"/>
        <v>0</v>
      </c>
    </row>
    <row r="512" spans="9:16">
      <c r="I512" s="205"/>
      <c r="J512" s="111">
        <f t="shared" si="51"/>
        <v>0</v>
      </c>
      <c r="K512" s="205"/>
      <c r="L512" s="82"/>
      <c r="M512" s="82"/>
      <c r="N512" s="111">
        <f t="shared" si="57"/>
        <v>0</v>
      </c>
      <c r="O512" s="111">
        <f t="shared" si="58"/>
        <v>0</v>
      </c>
      <c r="P512" s="111">
        <f t="shared" si="59"/>
        <v>0</v>
      </c>
    </row>
    <row r="513" spans="9:16">
      <c r="I513" s="205"/>
      <c r="J513" s="111">
        <f t="shared" si="51"/>
        <v>0</v>
      </c>
      <c r="K513" s="205"/>
      <c r="L513" s="82"/>
      <c r="M513" s="82"/>
      <c r="N513" s="111">
        <f t="shared" si="57"/>
        <v>0</v>
      </c>
      <c r="O513" s="111">
        <f t="shared" si="58"/>
        <v>0</v>
      </c>
      <c r="P513" s="111">
        <f t="shared" si="59"/>
        <v>0</v>
      </c>
    </row>
    <row r="514" spans="9:16">
      <c r="I514" s="205"/>
      <c r="J514" s="111">
        <f t="shared" si="51"/>
        <v>0</v>
      </c>
      <c r="K514" s="205"/>
      <c r="L514" s="82"/>
      <c r="M514" s="82"/>
      <c r="N514" s="111">
        <f t="shared" si="57"/>
        <v>0</v>
      </c>
      <c r="O514" s="111">
        <f t="shared" si="58"/>
        <v>0</v>
      </c>
      <c r="P514" s="111">
        <f t="shared" si="59"/>
        <v>0</v>
      </c>
    </row>
    <row r="515" spans="9:16">
      <c r="I515" s="205"/>
      <c r="J515" s="111">
        <f t="shared" si="51"/>
        <v>0</v>
      </c>
      <c r="K515" s="205"/>
      <c r="L515" s="82"/>
      <c r="M515" s="82"/>
      <c r="N515" s="111">
        <f t="shared" si="57"/>
        <v>0</v>
      </c>
      <c r="O515" s="111">
        <f t="shared" si="58"/>
        <v>0</v>
      </c>
      <c r="P515" s="111">
        <f t="shared" si="59"/>
        <v>0</v>
      </c>
    </row>
    <row r="516" spans="9:16">
      <c r="I516" s="205"/>
      <c r="J516" s="111">
        <f t="shared" si="51"/>
        <v>0</v>
      </c>
      <c r="K516" s="205"/>
      <c r="L516" s="82"/>
      <c r="M516" s="82"/>
      <c r="N516" s="111">
        <f t="shared" si="57"/>
        <v>0</v>
      </c>
      <c r="O516" s="111">
        <f t="shared" si="58"/>
        <v>0</v>
      </c>
      <c r="P516" s="111">
        <f t="shared" si="59"/>
        <v>0</v>
      </c>
    </row>
    <row r="517" spans="9:16">
      <c r="I517" s="205"/>
      <c r="J517" s="111" t="e">
        <f t="shared" si="51"/>
        <v>#VALUE!</v>
      </c>
      <c r="K517" s="205"/>
      <c r="L517" s="82" t="s">
        <v>25</v>
      </c>
      <c r="M517" s="82"/>
      <c r="N517" s="111" t="e">
        <f t="shared" si="57"/>
        <v>#VALUE!</v>
      </c>
      <c r="O517" s="111">
        <f t="shared" si="58"/>
        <v>0</v>
      </c>
      <c r="P517" s="111" t="e">
        <f t="shared" si="59"/>
        <v>#VALUE!</v>
      </c>
    </row>
    <row r="518" spans="9:16">
      <c r="I518" s="205"/>
      <c r="J518" s="111" t="e">
        <f t="shared" si="51"/>
        <v>#VALUE!</v>
      </c>
      <c r="K518" s="205"/>
      <c r="L518" s="82"/>
      <c r="M518" s="82"/>
      <c r="N518" s="111">
        <f t="shared" si="57"/>
        <v>0</v>
      </c>
      <c r="O518" s="111">
        <f t="shared" si="58"/>
        <v>0</v>
      </c>
      <c r="P518" s="111" t="e">
        <f t="shared" si="59"/>
        <v>#VALUE!</v>
      </c>
    </row>
    <row r="519" spans="9:16">
      <c r="I519" s="205"/>
      <c r="J519" s="111">
        <f t="shared" si="51"/>
        <v>0</v>
      </c>
      <c r="K519" s="205"/>
      <c r="L519" s="82"/>
      <c r="M519" s="82"/>
      <c r="N519" s="111">
        <f t="shared" si="57"/>
        <v>0</v>
      </c>
      <c r="O519" s="111">
        <f t="shared" si="58"/>
        <v>0</v>
      </c>
      <c r="P519" s="111">
        <f t="shared" si="59"/>
        <v>0</v>
      </c>
    </row>
    <row r="520" spans="9:16">
      <c r="I520" s="205"/>
      <c r="J520" s="111">
        <f t="shared" si="51"/>
        <v>0</v>
      </c>
      <c r="K520" s="205"/>
      <c r="L520" s="82"/>
      <c r="M520" s="82"/>
      <c r="N520" s="111">
        <f t="shared" si="57"/>
        <v>0</v>
      </c>
      <c r="O520" s="111">
        <f t="shared" si="58"/>
        <v>0</v>
      </c>
      <c r="P520" s="111">
        <f t="shared" si="59"/>
        <v>0</v>
      </c>
    </row>
    <row r="521" spans="9:16">
      <c r="I521" s="205"/>
      <c r="J521" s="111">
        <f t="shared" si="51"/>
        <v>0</v>
      </c>
      <c r="K521" s="205"/>
      <c r="L521" s="82"/>
      <c r="M521" s="82"/>
      <c r="N521" s="111">
        <f t="shared" si="57"/>
        <v>0</v>
      </c>
      <c r="O521" s="111">
        <f t="shared" si="58"/>
        <v>0</v>
      </c>
      <c r="P521" s="111">
        <f t="shared" si="59"/>
        <v>0</v>
      </c>
    </row>
    <row r="522" spans="9:16">
      <c r="I522" s="205"/>
      <c r="J522" s="111">
        <f t="shared" si="51"/>
        <v>0</v>
      </c>
      <c r="K522" s="205"/>
      <c r="L522" s="82"/>
      <c r="M522" s="82"/>
      <c r="N522" s="111">
        <f t="shared" si="57"/>
        <v>0</v>
      </c>
      <c r="O522" s="111">
        <f t="shared" si="58"/>
        <v>0</v>
      </c>
      <c r="P522" s="111">
        <f t="shared" si="59"/>
        <v>0</v>
      </c>
    </row>
    <row r="523" spans="9:16">
      <c r="I523" s="205"/>
      <c r="J523" s="111">
        <f t="shared" si="51"/>
        <v>0</v>
      </c>
      <c r="K523" s="205"/>
      <c r="L523" s="82"/>
      <c r="M523" s="82"/>
      <c r="N523" s="111">
        <f t="shared" si="57"/>
        <v>0</v>
      </c>
      <c r="O523" s="111">
        <f t="shared" si="58"/>
        <v>0</v>
      </c>
      <c r="P523" s="111">
        <f t="shared" si="59"/>
        <v>0</v>
      </c>
    </row>
    <row r="524" spans="9:16">
      <c r="I524" s="205"/>
      <c r="J524" s="111">
        <f t="shared" si="51"/>
        <v>0</v>
      </c>
      <c r="K524" s="205"/>
      <c r="L524" s="82"/>
      <c r="M524" s="82"/>
      <c r="N524" s="111">
        <f t="shared" si="57"/>
        <v>0</v>
      </c>
      <c r="O524" s="111">
        <f t="shared" si="58"/>
        <v>0</v>
      </c>
      <c r="P524" s="111">
        <f t="shared" si="59"/>
        <v>0</v>
      </c>
    </row>
    <row r="525" spans="9:16">
      <c r="I525" s="205"/>
      <c r="J525" s="111">
        <f t="shared" si="51"/>
        <v>0</v>
      </c>
      <c r="K525" s="205"/>
      <c r="L525" s="82"/>
      <c r="M525" s="82"/>
      <c r="N525" s="111">
        <f t="shared" si="57"/>
        <v>0</v>
      </c>
      <c r="O525" s="111">
        <f t="shared" si="58"/>
        <v>0</v>
      </c>
      <c r="P525" s="111">
        <f t="shared" si="59"/>
        <v>0</v>
      </c>
    </row>
    <row r="526" spans="9:16">
      <c r="I526" s="205"/>
      <c r="J526" s="111">
        <f t="shared" si="51"/>
        <v>0</v>
      </c>
      <c r="K526" s="205"/>
      <c r="L526" s="82"/>
      <c r="M526" s="82"/>
      <c r="N526" s="111">
        <f t="shared" si="57"/>
        <v>0</v>
      </c>
      <c r="O526" s="111">
        <f t="shared" si="58"/>
        <v>0</v>
      </c>
      <c r="P526" s="111">
        <f t="shared" si="59"/>
        <v>0</v>
      </c>
    </row>
    <row r="527" spans="9:16">
      <c r="I527" s="205"/>
      <c r="J527" s="111">
        <f t="shared" si="51"/>
        <v>0</v>
      </c>
      <c r="K527" s="205"/>
      <c r="L527" s="82"/>
      <c r="M527" s="82"/>
      <c r="N527" s="111">
        <f t="shared" ref="N527:N559" si="60">L527+M527</f>
        <v>0</v>
      </c>
      <c r="O527" s="111">
        <f t="shared" ref="O527:O559" si="61">M527-M526</f>
        <v>0</v>
      </c>
      <c r="P527" s="111">
        <f t="shared" ref="P527:P559" si="62">N527-N526</f>
        <v>0</v>
      </c>
    </row>
    <row r="528" spans="9:16">
      <c r="I528" s="205"/>
      <c r="J528" s="111">
        <f t="shared" si="51"/>
        <v>0</v>
      </c>
      <c r="K528" s="205"/>
      <c r="L528" s="82"/>
      <c r="M528" s="82"/>
      <c r="N528" s="111">
        <f t="shared" si="60"/>
        <v>0</v>
      </c>
      <c r="O528" s="111">
        <f t="shared" si="61"/>
        <v>0</v>
      </c>
      <c r="P528" s="111">
        <f t="shared" si="62"/>
        <v>0</v>
      </c>
    </row>
    <row r="529" spans="9:18">
      <c r="I529" s="205"/>
      <c r="J529" s="111">
        <f t="shared" si="51"/>
        <v>0</v>
      </c>
      <c r="K529" s="205"/>
      <c r="L529" s="82"/>
      <c r="M529" s="82"/>
      <c r="N529" s="111">
        <f t="shared" si="60"/>
        <v>0</v>
      </c>
      <c r="O529" s="111">
        <f t="shared" si="61"/>
        <v>0</v>
      </c>
      <c r="P529" s="111">
        <f t="shared" si="62"/>
        <v>0</v>
      </c>
    </row>
    <row r="530" spans="9:18">
      <c r="I530" s="205"/>
      <c r="J530" s="111">
        <f t="shared" si="51"/>
        <v>0</v>
      </c>
      <c r="K530" s="205"/>
      <c r="L530" s="82"/>
      <c r="M530" s="82"/>
      <c r="N530" s="111">
        <f t="shared" si="60"/>
        <v>0</v>
      </c>
      <c r="O530" s="111">
        <f t="shared" si="61"/>
        <v>0</v>
      </c>
      <c r="P530" s="111">
        <f t="shared" si="62"/>
        <v>0</v>
      </c>
    </row>
    <row r="531" spans="9:18">
      <c r="I531" s="205"/>
      <c r="J531" s="111">
        <f t="shared" si="51"/>
        <v>0</v>
      </c>
      <c r="K531" s="205"/>
      <c r="L531" s="82"/>
      <c r="M531" s="82"/>
      <c r="N531" s="111">
        <f t="shared" si="60"/>
        <v>0</v>
      </c>
      <c r="O531" s="111">
        <f t="shared" si="61"/>
        <v>0</v>
      </c>
      <c r="P531" s="111">
        <f t="shared" si="62"/>
        <v>0</v>
      </c>
    </row>
    <row r="532" spans="9:18">
      <c r="I532" s="205"/>
      <c r="J532" s="111">
        <f t="shared" si="51"/>
        <v>0</v>
      </c>
      <c r="K532" s="205"/>
      <c r="L532" s="82"/>
      <c r="M532" s="82"/>
      <c r="N532" s="111">
        <f t="shared" si="60"/>
        <v>0</v>
      </c>
      <c r="O532" s="111">
        <f t="shared" si="61"/>
        <v>0</v>
      </c>
      <c r="P532" s="111">
        <f t="shared" si="62"/>
        <v>0</v>
      </c>
    </row>
    <row r="533" spans="9:18">
      <c r="I533" s="205"/>
      <c r="J533" s="111">
        <f t="shared" si="51"/>
        <v>0</v>
      </c>
      <c r="K533" s="205"/>
      <c r="L533" s="82"/>
      <c r="M533" s="82"/>
      <c r="N533" s="111">
        <f t="shared" si="60"/>
        <v>0</v>
      </c>
      <c r="O533" s="111">
        <f t="shared" si="61"/>
        <v>0</v>
      </c>
      <c r="P533" s="111">
        <f t="shared" si="62"/>
        <v>0</v>
      </c>
    </row>
    <row r="534" spans="9:18">
      <c r="I534" s="205"/>
      <c r="J534" s="111">
        <f t="shared" si="51"/>
        <v>0</v>
      </c>
      <c r="K534" s="205"/>
      <c r="L534" s="82"/>
      <c r="M534" s="82"/>
      <c r="N534" s="111">
        <f t="shared" si="60"/>
        <v>0</v>
      </c>
      <c r="O534" s="111">
        <f t="shared" si="61"/>
        <v>0</v>
      </c>
      <c r="P534" s="111">
        <f t="shared" si="62"/>
        <v>0</v>
      </c>
    </row>
    <row r="535" spans="9:18">
      <c r="I535" s="205"/>
      <c r="J535" s="111">
        <f t="shared" si="51"/>
        <v>0</v>
      </c>
      <c r="K535" s="205"/>
      <c r="L535" s="82"/>
      <c r="M535" s="82"/>
      <c r="N535" s="111">
        <f t="shared" si="60"/>
        <v>0</v>
      </c>
      <c r="O535" s="111">
        <f t="shared" si="61"/>
        <v>0</v>
      </c>
      <c r="P535" s="111">
        <f t="shared" si="62"/>
        <v>0</v>
      </c>
    </row>
    <row r="536" spans="9:18">
      <c r="I536" s="205"/>
      <c r="J536" s="111">
        <f t="shared" si="51"/>
        <v>0</v>
      </c>
      <c r="K536" s="205"/>
      <c r="L536" s="82"/>
      <c r="M536" s="82"/>
      <c r="N536" s="111">
        <f t="shared" si="60"/>
        <v>0</v>
      </c>
      <c r="O536" s="111">
        <f t="shared" si="61"/>
        <v>0</v>
      </c>
      <c r="P536" s="111">
        <f t="shared" si="62"/>
        <v>0</v>
      </c>
    </row>
    <row r="537" spans="9:18">
      <c r="I537" s="205"/>
      <c r="J537" s="111">
        <f t="shared" si="51"/>
        <v>0</v>
      </c>
      <c r="K537" s="205"/>
      <c r="L537" s="82"/>
      <c r="M537" s="82"/>
      <c r="N537" s="111">
        <f t="shared" si="60"/>
        <v>0</v>
      </c>
      <c r="O537" s="111">
        <f t="shared" si="61"/>
        <v>0</v>
      </c>
      <c r="P537" s="111">
        <f t="shared" si="62"/>
        <v>0</v>
      </c>
    </row>
    <row r="538" spans="9:18">
      <c r="I538" s="205"/>
      <c r="J538" s="111">
        <f t="shared" si="51"/>
        <v>0</v>
      </c>
      <c r="K538" s="205"/>
      <c r="L538" s="82"/>
      <c r="M538" s="82"/>
      <c r="N538" s="111">
        <f t="shared" si="60"/>
        <v>0</v>
      </c>
      <c r="O538" s="111">
        <f t="shared" si="61"/>
        <v>0</v>
      </c>
      <c r="P538" s="111">
        <f t="shared" si="62"/>
        <v>0</v>
      </c>
    </row>
    <row r="539" spans="9:18">
      <c r="I539" s="205"/>
      <c r="J539" s="111">
        <f t="shared" si="51"/>
        <v>0</v>
      </c>
      <c r="K539" s="205"/>
      <c r="L539" s="82"/>
      <c r="M539" s="82"/>
      <c r="N539" s="111">
        <f t="shared" si="60"/>
        <v>0</v>
      </c>
      <c r="O539" s="111">
        <f t="shared" si="61"/>
        <v>0</v>
      </c>
      <c r="P539" s="111">
        <f t="shared" si="62"/>
        <v>0</v>
      </c>
    </row>
    <row r="540" spans="9:18">
      <c r="I540" s="205"/>
      <c r="J540" s="111">
        <f t="shared" si="51"/>
        <v>0</v>
      </c>
      <c r="K540" s="205"/>
      <c r="L540" s="82"/>
      <c r="M540" s="82"/>
      <c r="N540" s="111">
        <f t="shared" si="60"/>
        <v>0</v>
      </c>
      <c r="O540" s="111">
        <f t="shared" si="61"/>
        <v>0</v>
      </c>
      <c r="P540" s="111">
        <f t="shared" si="62"/>
        <v>0</v>
      </c>
    </row>
    <row r="541" spans="9:18">
      <c r="I541" s="205"/>
      <c r="J541" s="111">
        <f t="shared" si="51"/>
        <v>0</v>
      </c>
      <c r="K541" s="205"/>
      <c r="L541" s="82"/>
      <c r="M541" s="82"/>
      <c r="N541" s="111">
        <f t="shared" si="60"/>
        <v>0</v>
      </c>
      <c r="O541" s="111">
        <f t="shared" si="61"/>
        <v>0</v>
      </c>
      <c r="P541" s="111">
        <f t="shared" si="62"/>
        <v>0</v>
      </c>
    </row>
    <row r="542" spans="9:18">
      <c r="I542" s="205"/>
      <c r="J542" s="111">
        <f t="shared" si="51"/>
        <v>0</v>
      </c>
      <c r="K542" s="205"/>
      <c r="L542" s="82"/>
      <c r="M542" s="82"/>
      <c r="N542" s="111">
        <f t="shared" si="60"/>
        <v>0</v>
      </c>
      <c r="O542" s="111">
        <f t="shared" si="61"/>
        <v>0</v>
      </c>
      <c r="P542" s="111">
        <f t="shared" si="62"/>
        <v>0</v>
      </c>
    </row>
    <row r="543" spans="9:18">
      <c r="I543" s="205"/>
      <c r="J543" s="111">
        <f t="shared" si="51"/>
        <v>0</v>
      </c>
      <c r="K543" s="205"/>
      <c r="L543" s="82"/>
      <c r="M543" s="82"/>
      <c r="N543" s="111">
        <f t="shared" si="60"/>
        <v>0</v>
      </c>
      <c r="O543" s="111">
        <f t="shared" si="61"/>
        <v>0</v>
      </c>
      <c r="P543" s="111">
        <f t="shared" si="62"/>
        <v>0</v>
      </c>
    </row>
    <row r="544" spans="9:18">
      <c r="I544" s="205"/>
      <c r="J544" s="111">
        <f t="shared" si="51"/>
        <v>0</v>
      </c>
      <c r="K544" s="205"/>
      <c r="L544" s="82"/>
      <c r="M544" s="82"/>
      <c r="N544" s="111">
        <f t="shared" si="60"/>
        <v>0</v>
      </c>
      <c r="O544" s="111">
        <f t="shared" si="61"/>
        <v>0</v>
      </c>
      <c r="P544" s="111">
        <f t="shared" si="62"/>
        <v>0</v>
      </c>
      <c r="R544" t="s">
        <v>25</v>
      </c>
    </row>
    <row r="545" spans="9:16">
      <c r="I545" s="205"/>
      <c r="J545" s="111">
        <f t="shared" si="51"/>
        <v>0</v>
      </c>
      <c r="K545" s="205"/>
      <c r="L545" s="82"/>
      <c r="M545" s="82"/>
      <c r="N545" s="111">
        <f t="shared" si="60"/>
        <v>0</v>
      </c>
      <c r="O545" s="111">
        <f t="shared" si="61"/>
        <v>0</v>
      </c>
      <c r="P545" s="111">
        <f t="shared" si="62"/>
        <v>0</v>
      </c>
    </row>
    <row r="546" spans="9:16">
      <c r="I546" s="205"/>
      <c r="J546" s="111">
        <f t="shared" si="51"/>
        <v>0</v>
      </c>
      <c r="K546" s="205"/>
      <c r="L546" s="82"/>
      <c r="M546" s="82"/>
      <c r="N546" s="111">
        <f t="shared" si="60"/>
        <v>0</v>
      </c>
      <c r="O546" s="111">
        <f t="shared" si="61"/>
        <v>0</v>
      </c>
      <c r="P546" s="111">
        <f t="shared" si="62"/>
        <v>0</v>
      </c>
    </row>
    <row r="547" spans="9:16">
      <c r="I547" s="205"/>
      <c r="J547" s="111">
        <f t="shared" si="51"/>
        <v>0</v>
      </c>
      <c r="K547" s="205"/>
      <c r="L547" s="82"/>
      <c r="M547" s="82"/>
      <c r="N547" s="111">
        <f t="shared" si="60"/>
        <v>0</v>
      </c>
      <c r="O547" s="111">
        <f t="shared" si="61"/>
        <v>0</v>
      </c>
      <c r="P547" s="111">
        <f t="shared" si="62"/>
        <v>0</v>
      </c>
    </row>
    <row r="548" spans="9:16">
      <c r="I548" s="205"/>
      <c r="J548" s="111">
        <f t="shared" si="51"/>
        <v>0</v>
      </c>
      <c r="K548" s="205"/>
      <c r="L548" s="82"/>
      <c r="M548" s="82"/>
      <c r="N548" s="111">
        <f t="shared" si="60"/>
        <v>0</v>
      </c>
      <c r="O548" s="111">
        <f t="shared" si="61"/>
        <v>0</v>
      </c>
      <c r="P548" s="111">
        <f t="shared" si="62"/>
        <v>0</v>
      </c>
    </row>
    <row r="549" spans="9:16">
      <c r="I549" s="205"/>
      <c r="J549" s="111">
        <f t="shared" si="51"/>
        <v>0</v>
      </c>
      <c r="K549" s="205"/>
      <c r="L549" s="82"/>
      <c r="M549" s="82"/>
      <c r="N549" s="111">
        <f t="shared" si="60"/>
        <v>0</v>
      </c>
      <c r="O549" s="111">
        <f t="shared" si="61"/>
        <v>0</v>
      </c>
      <c r="P549" s="111">
        <f t="shared" si="62"/>
        <v>0</v>
      </c>
    </row>
    <row r="550" spans="9:16">
      <c r="I550" s="205"/>
      <c r="J550" s="111">
        <f t="shared" si="51"/>
        <v>0</v>
      </c>
      <c r="K550" s="205"/>
      <c r="L550" s="82"/>
      <c r="M550" s="82"/>
      <c r="N550" s="111">
        <f t="shared" si="60"/>
        <v>0</v>
      </c>
      <c r="O550" s="111">
        <f t="shared" si="61"/>
        <v>0</v>
      </c>
      <c r="P550" s="111">
        <f t="shared" si="62"/>
        <v>0</v>
      </c>
    </row>
    <row r="551" spans="9:16">
      <c r="I551" s="205"/>
      <c r="J551" s="111">
        <f t="shared" si="51"/>
        <v>0</v>
      </c>
      <c r="K551" s="205"/>
      <c r="L551" s="82"/>
      <c r="M551" s="82"/>
      <c r="N551" s="111">
        <f t="shared" si="60"/>
        <v>0</v>
      </c>
      <c r="O551" s="111">
        <f t="shared" si="61"/>
        <v>0</v>
      </c>
      <c r="P551" s="111">
        <f t="shared" si="62"/>
        <v>0</v>
      </c>
    </row>
    <row r="552" spans="9:16">
      <c r="I552" s="205"/>
      <c r="J552" s="111">
        <f t="shared" si="51"/>
        <v>0</v>
      </c>
      <c r="K552" s="205"/>
      <c r="L552" s="82"/>
      <c r="M552" s="82"/>
      <c r="N552" s="111">
        <f t="shared" si="60"/>
        <v>0</v>
      </c>
      <c r="O552" s="111">
        <f t="shared" si="61"/>
        <v>0</v>
      </c>
      <c r="P552" s="111">
        <f t="shared" si="62"/>
        <v>0</v>
      </c>
    </row>
    <row r="553" spans="9:16">
      <c r="I553" s="205"/>
      <c r="J553" s="111">
        <f t="shared" si="51"/>
        <v>0</v>
      </c>
      <c r="K553" s="205"/>
      <c r="L553" s="82"/>
      <c r="M553" s="82"/>
      <c r="N553" s="111">
        <f t="shared" si="60"/>
        <v>0</v>
      </c>
      <c r="O553" s="111">
        <f t="shared" si="61"/>
        <v>0</v>
      </c>
      <c r="P553" s="111">
        <f t="shared" si="62"/>
        <v>0</v>
      </c>
    </row>
    <row r="554" spans="9:16">
      <c r="I554" s="205"/>
      <c r="J554" s="111">
        <f t="shared" si="51"/>
        <v>0</v>
      </c>
      <c r="K554" s="205"/>
      <c r="L554" s="82"/>
      <c r="M554" s="82"/>
      <c r="N554" s="111">
        <f t="shared" si="60"/>
        <v>0</v>
      </c>
      <c r="O554" s="111">
        <f t="shared" si="61"/>
        <v>0</v>
      </c>
      <c r="P554" s="111">
        <f t="shared" si="62"/>
        <v>0</v>
      </c>
    </row>
    <row r="555" spans="9:16">
      <c r="I555" s="205"/>
      <c r="J555" s="111">
        <f t="shared" si="51"/>
        <v>0</v>
      </c>
      <c r="K555" s="205"/>
      <c r="L555" s="82"/>
      <c r="M555" s="82"/>
      <c r="N555" s="111">
        <f t="shared" si="60"/>
        <v>0</v>
      </c>
      <c r="O555" s="111">
        <f t="shared" si="61"/>
        <v>0</v>
      </c>
      <c r="P555" s="111">
        <f t="shared" si="62"/>
        <v>0</v>
      </c>
    </row>
    <row r="556" spans="9:16">
      <c r="I556" s="205"/>
      <c r="J556" s="111">
        <f t="shared" si="51"/>
        <v>0</v>
      </c>
      <c r="K556" s="205"/>
      <c r="L556" s="82"/>
      <c r="M556" s="82"/>
      <c r="N556" s="111">
        <f t="shared" si="60"/>
        <v>0</v>
      </c>
      <c r="O556" s="111">
        <f t="shared" si="61"/>
        <v>0</v>
      </c>
      <c r="P556" s="111">
        <f t="shared" si="62"/>
        <v>0</v>
      </c>
    </row>
    <row r="557" spans="9:16">
      <c r="I557" s="205"/>
      <c r="J557" s="111">
        <f t="shared" si="51"/>
        <v>0</v>
      </c>
      <c r="K557" s="205"/>
      <c r="L557" s="82"/>
      <c r="M557" s="82"/>
      <c r="N557" s="111">
        <f t="shared" si="60"/>
        <v>0</v>
      </c>
      <c r="O557" s="111">
        <f t="shared" si="61"/>
        <v>0</v>
      </c>
      <c r="P557" s="111">
        <f t="shared" si="62"/>
        <v>0</v>
      </c>
    </row>
    <row r="558" spans="9:16">
      <c r="I558" s="205"/>
      <c r="J558" s="111">
        <f t="shared" si="51"/>
        <v>0</v>
      </c>
      <c r="K558" s="205"/>
      <c r="L558" s="82"/>
      <c r="M558" s="82"/>
      <c r="N558" s="111">
        <f t="shared" si="60"/>
        <v>0</v>
      </c>
      <c r="O558" s="111">
        <f t="shared" si="61"/>
        <v>0</v>
      </c>
      <c r="P558" s="111">
        <f t="shared" si="62"/>
        <v>0</v>
      </c>
    </row>
    <row r="559" spans="9:16">
      <c r="I559" s="205"/>
      <c r="J559" s="111">
        <f t="shared" si="51"/>
        <v>0</v>
      </c>
      <c r="K559" s="205"/>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4640</v>
      </c>
      <c r="B74" s="111">
        <v>-38130</v>
      </c>
      <c r="C74" s="97" t="s">
        <v>1022</v>
      </c>
      <c r="D74" s="97">
        <v>1</v>
      </c>
      <c r="E74" s="97">
        <f t="shared" si="3"/>
        <v>2</v>
      </c>
      <c r="F74" s="97">
        <f t="shared" si="1"/>
        <v>0</v>
      </c>
      <c r="G74" s="97">
        <f t="shared" si="2"/>
        <v>-76260</v>
      </c>
      <c r="I74" t="s">
        <v>25</v>
      </c>
    </row>
    <row r="75" spans="1:9">
      <c r="A75" s="97" t="s">
        <v>4643</v>
      </c>
      <c r="B75" s="111">
        <v>-20000</v>
      </c>
      <c r="C75" s="97" t="s">
        <v>4647</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5289</v>
      </c>
      <c r="B1">
        <v>0.24</v>
      </c>
    </row>
    <row r="4" spans="1:21">
      <c r="A4" s="97" t="s">
        <v>3623</v>
      </c>
      <c r="B4" s="97" t="s">
        <v>180</v>
      </c>
      <c r="C4" s="97" t="s">
        <v>5293</v>
      </c>
      <c r="D4" s="97" t="s">
        <v>5294</v>
      </c>
      <c r="E4" s="97" t="s">
        <v>5301</v>
      </c>
      <c r="F4" s="97" t="s">
        <v>5295</v>
      </c>
      <c r="G4" s="97" t="s">
        <v>5296</v>
      </c>
      <c r="H4" s="97" t="s">
        <v>5297</v>
      </c>
      <c r="I4" s="97" t="s">
        <v>5298</v>
      </c>
      <c r="J4" s="97" t="s">
        <v>5299</v>
      </c>
      <c r="K4" s="97" t="s">
        <v>5300</v>
      </c>
      <c r="L4" s="97" t="s">
        <v>5288</v>
      </c>
      <c r="M4" s="97" t="s">
        <v>5290</v>
      </c>
      <c r="N4" s="97" t="s">
        <v>5291</v>
      </c>
      <c r="O4" s="97"/>
    </row>
    <row r="5" spans="1:21">
      <c r="A5" s="97">
        <v>0</v>
      </c>
      <c r="B5" s="97" t="s">
        <v>5287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5315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5314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5318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2" t="s">
        <v>4480</v>
      </c>
      <c r="B52" s="262" t="s">
        <v>5302</v>
      </c>
      <c r="C52" s="262" t="s">
        <v>5303</v>
      </c>
      <c r="D52" s="262" t="s">
        <v>5304</v>
      </c>
      <c r="E52" s="262" t="s">
        <v>4245</v>
      </c>
      <c r="F52" s="262" t="s">
        <v>5305</v>
      </c>
      <c r="G52" s="262" t="s">
        <v>5306</v>
      </c>
      <c r="H52" s="262" t="s">
        <v>5307</v>
      </c>
      <c r="I52" s="262" t="s">
        <v>5308</v>
      </c>
      <c r="J52" s="262" t="s">
        <v>5309</v>
      </c>
      <c r="K52" s="262" t="s">
        <v>5310</v>
      </c>
      <c r="L52" s="262" t="s">
        <v>5311</v>
      </c>
      <c r="M52" s="262" t="s">
        <v>5312</v>
      </c>
      <c r="N52" s="262" t="s">
        <v>5313</v>
      </c>
    </row>
    <row r="53" spans="1:14" ht="15.75" thickBot="1">
      <c r="A53" s="263" t="s">
        <v>4216</v>
      </c>
      <c r="B53" s="264">
        <v>2806332</v>
      </c>
      <c r="C53" s="264">
        <v>5993639424</v>
      </c>
      <c r="D53" s="264">
        <v>2136</v>
      </c>
      <c r="E53" s="264">
        <v>5184</v>
      </c>
      <c r="F53" s="264">
        <v>14406181843</v>
      </c>
      <c r="G53" s="264">
        <v>2157</v>
      </c>
      <c r="H53" s="264">
        <v>1296909440</v>
      </c>
      <c r="I53" s="264">
        <v>314122000</v>
      </c>
      <c r="J53" s="264">
        <v>8412542419</v>
      </c>
      <c r="K53" s="265">
        <v>1.4036</v>
      </c>
      <c r="L53" s="264">
        <v>10023573859</v>
      </c>
      <c r="M53" s="265">
        <v>1.1309</v>
      </c>
      <c r="N53" s="265">
        <v>0.83099999999999996</v>
      </c>
    </row>
    <row r="54" spans="1:14" ht="15.75" thickBot="1">
      <c r="A54" s="263" t="s">
        <v>4358</v>
      </c>
      <c r="B54" s="264">
        <v>27101</v>
      </c>
      <c r="C54" s="264">
        <v>2027973760</v>
      </c>
      <c r="D54" s="264">
        <v>74830</v>
      </c>
      <c r="E54" s="264">
        <v>75601</v>
      </c>
      <c r="F54" s="264">
        <v>2028886290</v>
      </c>
      <c r="G54" s="264">
        <v>75567</v>
      </c>
      <c r="H54" s="264">
        <v>3434430</v>
      </c>
      <c r="I54" s="263">
        <v>0</v>
      </c>
      <c r="J54" s="264">
        <v>912530</v>
      </c>
      <c r="K54" s="265">
        <v>4.0000000000000002E-4</v>
      </c>
      <c r="L54" s="264">
        <v>4346960</v>
      </c>
      <c r="M54" s="265">
        <v>2E-3</v>
      </c>
      <c r="N54" s="265">
        <v>0.11700000000000001</v>
      </c>
    </row>
    <row r="55" spans="1:14" ht="15.75" thickBot="1">
      <c r="A55" s="263" t="s">
        <v>4371</v>
      </c>
      <c r="B55" s="264">
        <v>54523</v>
      </c>
      <c r="C55" s="264">
        <v>397795200</v>
      </c>
      <c r="D55" s="264">
        <v>7296</v>
      </c>
      <c r="E55" s="264">
        <v>12992</v>
      </c>
      <c r="F55" s="264">
        <v>701456279</v>
      </c>
      <c r="G55" s="264">
        <v>7368</v>
      </c>
      <c r="H55" s="264">
        <v>455670432</v>
      </c>
      <c r="I55" s="264">
        <v>162660000</v>
      </c>
      <c r="J55" s="264">
        <v>303661079</v>
      </c>
      <c r="K55" s="265">
        <v>0.76339999999999997</v>
      </c>
      <c r="L55" s="264">
        <v>921991511</v>
      </c>
      <c r="M55" s="265">
        <v>0.53590000000000004</v>
      </c>
      <c r="N55" s="265">
        <v>4.0500000000000001E-2</v>
      </c>
    </row>
    <row r="56" spans="1:14" ht="15.75" thickBot="1">
      <c r="A56" s="263" t="s">
        <v>5275</v>
      </c>
      <c r="B56" s="264">
        <v>45598</v>
      </c>
      <c r="C56" s="264">
        <v>182155728</v>
      </c>
      <c r="D56" s="264">
        <v>3995</v>
      </c>
      <c r="E56" s="264">
        <v>3918</v>
      </c>
      <c r="F56" s="264">
        <v>176911098</v>
      </c>
      <c r="G56" s="264">
        <v>4034</v>
      </c>
      <c r="H56" s="264">
        <v>3904</v>
      </c>
      <c r="I56" s="263">
        <v>0</v>
      </c>
      <c r="J56" s="264">
        <v>-5244630</v>
      </c>
      <c r="K56" s="265">
        <v>-2.8799999999999999E-2</v>
      </c>
      <c r="L56" s="264">
        <v>-5240726</v>
      </c>
      <c r="M56" s="265">
        <v>-2.86E-2</v>
      </c>
      <c r="N56" s="265">
        <v>1.0200000000000001E-2</v>
      </c>
    </row>
    <row r="57" spans="1:14" ht="15.75" thickBot="1">
      <c r="A57" s="263" t="s">
        <v>5270</v>
      </c>
      <c r="B57" s="264">
        <v>3073</v>
      </c>
      <c r="C57" s="264">
        <v>14075376</v>
      </c>
      <c r="D57" s="264">
        <v>4580</v>
      </c>
      <c r="E57" s="264">
        <v>4903</v>
      </c>
      <c r="F57" s="264">
        <v>14920017</v>
      </c>
      <c r="G57" s="264">
        <v>4625</v>
      </c>
      <c r="H57" s="264">
        <v>1818148</v>
      </c>
      <c r="I57" s="263">
        <v>0</v>
      </c>
      <c r="J57" s="264">
        <v>844641</v>
      </c>
      <c r="K57" s="266">
        <v>0.06</v>
      </c>
      <c r="L57" s="264">
        <v>2662789</v>
      </c>
      <c r="M57" s="265">
        <v>5.2499999999999998E-2</v>
      </c>
      <c r="N57" s="265">
        <v>8.9999999999999998E-4</v>
      </c>
    </row>
    <row r="58" spans="1:14" ht="15.75" thickBot="1">
      <c r="A58" s="263" t="s">
        <v>5261</v>
      </c>
      <c r="B58" s="263">
        <v>369</v>
      </c>
      <c r="C58" s="264">
        <v>2085047</v>
      </c>
      <c r="D58" s="264">
        <v>5651</v>
      </c>
      <c r="E58" s="264">
        <v>7535</v>
      </c>
      <c r="F58" s="264">
        <v>2753306</v>
      </c>
      <c r="G58" s="264">
        <v>5707</v>
      </c>
      <c r="H58" s="263">
        <v>0</v>
      </c>
      <c r="I58" s="263">
        <v>0</v>
      </c>
      <c r="J58" s="264">
        <v>668259</v>
      </c>
      <c r="K58" s="265">
        <v>0.32050000000000001</v>
      </c>
      <c r="L58" s="264">
        <v>668259</v>
      </c>
      <c r="M58" s="265">
        <v>0.32050000000000001</v>
      </c>
      <c r="N58" s="265">
        <v>2.0000000000000001E-4</v>
      </c>
    </row>
    <row r="59" spans="1:14" ht="15.75" thickBot="1">
      <c r="A59" s="263" t="s">
        <v>4829</v>
      </c>
      <c r="B59" s="263">
        <v>100</v>
      </c>
      <c r="C59" s="264">
        <v>2844133</v>
      </c>
      <c r="D59" s="264">
        <v>28441</v>
      </c>
      <c r="E59" s="264">
        <v>28361</v>
      </c>
      <c r="F59" s="264">
        <v>2808448</v>
      </c>
      <c r="G59" s="264">
        <v>28721</v>
      </c>
      <c r="H59" s="263">
        <v>0</v>
      </c>
      <c r="I59" s="263">
        <v>0</v>
      </c>
      <c r="J59" s="264">
        <v>-35685</v>
      </c>
      <c r="K59" s="265">
        <v>-1.2500000000000001E-2</v>
      </c>
      <c r="L59" s="264">
        <v>-35685</v>
      </c>
      <c r="M59" s="265">
        <v>-1.2500000000000001E-2</v>
      </c>
      <c r="N59" s="265">
        <v>2.0000000000000001E-4</v>
      </c>
    </row>
    <row r="60" spans="1:14" ht="15.75" thickBot="1">
      <c r="A60" s="263" t="s">
        <v>5252</v>
      </c>
      <c r="B60" s="263">
        <v>38</v>
      </c>
      <c r="C60" s="264">
        <v>1126087</v>
      </c>
      <c r="D60" s="264">
        <v>29634</v>
      </c>
      <c r="E60" s="264">
        <v>45760</v>
      </c>
      <c r="F60" s="264">
        <v>1721926</v>
      </c>
      <c r="G60" s="264">
        <v>29926</v>
      </c>
      <c r="H60" s="263">
        <v>0</v>
      </c>
      <c r="I60" s="263">
        <v>0</v>
      </c>
      <c r="J60" s="264">
        <v>595839</v>
      </c>
      <c r="K60" s="265">
        <v>0.52910000000000001</v>
      </c>
      <c r="L60" s="264">
        <v>595839</v>
      </c>
      <c r="M60" s="265">
        <v>0.52910000000000001</v>
      </c>
      <c r="N60" s="265">
        <v>1E-4</v>
      </c>
    </row>
    <row r="61" spans="1:14" ht="15.75" thickBot="1">
      <c r="A61" s="263" t="s">
        <v>5284</v>
      </c>
      <c r="B61" s="263">
        <v>67</v>
      </c>
      <c r="C61" s="264">
        <v>1144282</v>
      </c>
      <c r="D61" s="264">
        <v>17079</v>
      </c>
      <c r="E61" s="264">
        <v>17000</v>
      </c>
      <c r="F61" s="264">
        <v>1127895</v>
      </c>
      <c r="G61" s="264">
        <v>17247</v>
      </c>
      <c r="H61" s="263">
        <v>0</v>
      </c>
      <c r="I61" s="263">
        <v>0</v>
      </c>
      <c r="J61" s="264">
        <v>-16387</v>
      </c>
      <c r="K61" s="265">
        <v>-1.43E-2</v>
      </c>
      <c r="L61" s="264">
        <v>-16387</v>
      </c>
      <c r="M61" s="265">
        <v>-1.43E-2</v>
      </c>
      <c r="N61" s="265">
        <v>1E-4</v>
      </c>
    </row>
    <row r="63" spans="1:14" ht="15.75" thickBot="1"/>
    <row r="64" spans="1:14" ht="27" thickBot="1">
      <c r="A64" s="262" t="s">
        <v>4480</v>
      </c>
      <c r="B64" s="262" t="s">
        <v>5302</v>
      </c>
      <c r="C64" s="262" t="s">
        <v>5303</v>
      </c>
      <c r="D64" s="262" t="s">
        <v>5304</v>
      </c>
      <c r="E64" s="262" t="s">
        <v>4245</v>
      </c>
      <c r="F64" s="262" t="s">
        <v>5305</v>
      </c>
      <c r="G64" s="262" t="s">
        <v>5306</v>
      </c>
      <c r="H64" s="262" t="s">
        <v>5307</v>
      </c>
      <c r="I64" s="262" t="s">
        <v>5308</v>
      </c>
      <c r="J64" s="262" t="s">
        <v>5309</v>
      </c>
      <c r="K64" s="262" t="s">
        <v>5310</v>
      </c>
      <c r="L64" s="262" t="s">
        <v>5311</v>
      </c>
      <c r="M64" s="262" t="s">
        <v>5312</v>
      </c>
      <c r="N64" s="262" t="s">
        <v>5313</v>
      </c>
    </row>
    <row r="65" spans="1:14" ht="15.75" thickBot="1">
      <c r="A65" s="263" t="s">
        <v>4216</v>
      </c>
      <c r="B65" s="264">
        <v>1574177</v>
      </c>
      <c r="C65" s="264">
        <v>3344449792</v>
      </c>
      <c r="D65" s="264">
        <v>2125</v>
      </c>
      <c r="E65" s="264">
        <v>5184</v>
      </c>
      <c r="F65" s="264">
        <v>8080968366</v>
      </c>
      <c r="G65" s="264">
        <v>2146</v>
      </c>
      <c r="H65" s="264">
        <v>309993152</v>
      </c>
      <c r="I65" s="264">
        <v>20607250</v>
      </c>
      <c r="J65" s="264">
        <v>4736518574</v>
      </c>
      <c r="K65" s="265">
        <v>1.4161999999999999</v>
      </c>
      <c r="L65" s="264">
        <v>5067118976</v>
      </c>
      <c r="M65" s="265">
        <v>1.2862</v>
      </c>
      <c r="N65" s="265">
        <v>0.78559999999999997</v>
      </c>
    </row>
    <row r="66" spans="1:14" ht="15.75" thickBot="1">
      <c r="A66" s="263" t="s">
        <v>4371</v>
      </c>
      <c r="B66" s="264">
        <v>146408</v>
      </c>
      <c r="C66" s="264">
        <v>824376640</v>
      </c>
      <c r="D66" s="264">
        <v>5631</v>
      </c>
      <c r="E66" s="264">
        <v>12992</v>
      </c>
      <c r="F66" s="264">
        <v>1883586942</v>
      </c>
      <c r="G66" s="264">
        <v>5686</v>
      </c>
      <c r="H66" s="264">
        <v>132503776</v>
      </c>
      <c r="I66" s="264">
        <v>241591500</v>
      </c>
      <c r="J66" s="264">
        <v>1059210302</v>
      </c>
      <c r="K66" s="265">
        <v>1.2848999999999999</v>
      </c>
      <c r="L66" s="264">
        <v>1433305578</v>
      </c>
      <c r="M66" s="265">
        <v>1.4287000000000001</v>
      </c>
      <c r="N66" s="265">
        <v>0.18310000000000001</v>
      </c>
    </row>
    <row r="67" spans="1:14" ht="15.75" thickBot="1">
      <c r="A67" s="263" t="s">
        <v>4358</v>
      </c>
      <c r="B67" s="264">
        <v>3975</v>
      </c>
      <c r="C67" s="264">
        <v>284494112</v>
      </c>
      <c r="D67" s="264">
        <v>71571</v>
      </c>
      <c r="E67" s="264">
        <v>75601</v>
      </c>
      <c r="F67" s="264">
        <v>297583964</v>
      </c>
      <c r="G67" s="264">
        <v>72276</v>
      </c>
      <c r="H67" s="264">
        <v>2696941</v>
      </c>
      <c r="I67" s="263">
        <v>0</v>
      </c>
      <c r="J67" s="264">
        <v>13089852</v>
      </c>
      <c r="K67" s="265">
        <v>4.5999999999999999E-2</v>
      </c>
      <c r="L67" s="264">
        <v>15786793</v>
      </c>
      <c r="M67" s="265">
        <v>4.36E-2</v>
      </c>
      <c r="N67" s="265">
        <v>2.8899999999999999E-2</v>
      </c>
    </row>
    <row r="68" spans="1:14" ht="15.75" thickBot="1">
      <c r="A68" s="263" t="s">
        <v>5275</v>
      </c>
      <c r="B68" s="264">
        <v>4687</v>
      </c>
      <c r="C68" s="264">
        <v>18756876</v>
      </c>
      <c r="D68" s="264">
        <v>4002</v>
      </c>
      <c r="E68" s="264">
        <v>3918</v>
      </c>
      <c r="F68" s="264">
        <v>18184620</v>
      </c>
      <c r="G68" s="264">
        <v>4041</v>
      </c>
      <c r="H68" s="263">
        <v>0</v>
      </c>
      <c r="I68" s="263">
        <v>0</v>
      </c>
      <c r="J68" s="264">
        <v>-572256</v>
      </c>
      <c r="K68" s="265">
        <v>-3.0499999999999999E-2</v>
      </c>
      <c r="L68" s="264">
        <v>-572256</v>
      </c>
      <c r="M68" s="265">
        <v>-3.0499999999999999E-2</v>
      </c>
      <c r="N68" s="265">
        <v>1.8E-3</v>
      </c>
    </row>
    <row r="69" spans="1:14" ht="15.75" thickBot="1">
      <c r="A69" s="263" t="s">
        <v>5261</v>
      </c>
      <c r="B69" s="263">
        <v>369</v>
      </c>
      <c r="C69" s="264">
        <v>2085047</v>
      </c>
      <c r="D69" s="264">
        <v>5651</v>
      </c>
      <c r="E69" s="264">
        <v>7535</v>
      </c>
      <c r="F69" s="264">
        <v>2753306</v>
      </c>
      <c r="G69" s="264">
        <v>5707</v>
      </c>
      <c r="H69" s="263">
        <v>0</v>
      </c>
      <c r="I69" s="263">
        <v>0</v>
      </c>
      <c r="J69" s="264">
        <v>668259</v>
      </c>
      <c r="K69" s="265">
        <v>0.32050000000000001</v>
      </c>
      <c r="L69" s="264">
        <v>668259</v>
      </c>
      <c r="M69" s="265">
        <v>0.32050000000000001</v>
      </c>
      <c r="N69" s="265">
        <v>2.9999999999999997E-4</v>
      </c>
    </row>
    <row r="70" spans="1:14" ht="15.75" thickBot="1">
      <c r="A70" s="263" t="s">
        <v>5252</v>
      </c>
      <c r="B70" s="263">
        <v>38</v>
      </c>
      <c r="C70" s="264">
        <v>1126087</v>
      </c>
      <c r="D70" s="264">
        <v>29634</v>
      </c>
      <c r="E70" s="264">
        <v>45760</v>
      </c>
      <c r="F70" s="264">
        <v>1721926</v>
      </c>
      <c r="G70" s="264">
        <v>29926</v>
      </c>
      <c r="H70" s="263">
        <v>0</v>
      </c>
      <c r="I70" s="263">
        <v>0</v>
      </c>
      <c r="J70" s="264">
        <v>595839</v>
      </c>
      <c r="K70" s="265">
        <v>0.52910000000000001</v>
      </c>
      <c r="L70" s="264">
        <v>595839</v>
      </c>
      <c r="M70" s="265">
        <v>0.52910000000000001</v>
      </c>
      <c r="N70" s="265">
        <v>2.0000000000000001E-4</v>
      </c>
    </row>
    <row r="71" spans="1:14" ht="15.75" thickBot="1">
      <c r="A71" s="263" t="s">
        <v>5284</v>
      </c>
      <c r="B71" s="263">
        <v>67</v>
      </c>
      <c r="C71" s="264">
        <v>1144282</v>
      </c>
      <c r="D71" s="264">
        <v>17079</v>
      </c>
      <c r="E71" s="264">
        <v>17000</v>
      </c>
      <c r="F71" s="264">
        <v>1127895</v>
      </c>
      <c r="G71" s="264">
        <v>17247</v>
      </c>
      <c r="H71" s="263">
        <v>0</v>
      </c>
      <c r="I71" s="263">
        <v>0</v>
      </c>
      <c r="J71" s="264">
        <v>-16387</v>
      </c>
      <c r="K71" s="265">
        <v>-1.43E-2</v>
      </c>
      <c r="L71" s="264">
        <v>-16387</v>
      </c>
      <c r="M71" s="265">
        <v>-1.43E-2</v>
      </c>
      <c r="N71" s="265">
        <v>1E-4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4668</v>
      </c>
      <c r="B44" s="111">
        <v>-31000</v>
      </c>
      <c r="C44" s="97" t="s">
        <v>4675</v>
      </c>
      <c r="D44" s="97">
        <v>19</v>
      </c>
      <c r="E44" s="97">
        <f t="shared" ref="E44:E50" si="5">E45+D44</f>
        <v>47</v>
      </c>
      <c r="F44" s="97">
        <f t="shared" ref="F44:F50" si="6">IF(B44&gt;0,1,0)</f>
        <v>0</v>
      </c>
      <c r="G44" s="97">
        <f t="shared" ref="G44:G50" si="7">B44*(E44-F44)</f>
        <v>-1457000</v>
      </c>
    </row>
    <row r="45" spans="1:14">
      <c r="A45" s="97" t="s">
        <v>4738</v>
      </c>
      <c r="B45" s="111">
        <v>2060725</v>
      </c>
      <c r="C45" s="97" t="s">
        <v>4741</v>
      </c>
      <c r="D45" s="97">
        <v>6</v>
      </c>
      <c r="E45" s="97">
        <f t="shared" si="5"/>
        <v>28</v>
      </c>
      <c r="F45" s="97">
        <f t="shared" si="6"/>
        <v>1</v>
      </c>
      <c r="G45" s="97">
        <f t="shared" si="7"/>
        <v>55639575</v>
      </c>
    </row>
    <row r="46" spans="1:14">
      <c r="A46" s="97" t="s">
        <v>4761</v>
      </c>
      <c r="B46" s="111">
        <v>-1073169</v>
      </c>
      <c r="C46" s="97" t="s">
        <v>4762</v>
      </c>
      <c r="D46" s="97">
        <v>4</v>
      </c>
      <c r="E46" s="97">
        <f t="shared" si="5"/>
        <v>22</v>
      </c>
      <c r="F46" s="97">
        <f t="shared" si="6"/>
        <v>0</v>
      </c>
      <c r="G46" s="97">
        <f t="shared" si="7"/>
        <v>-23609718</v>
      </c>
    </row>
    <row r="47" spans="1:14">
      <c r="A47" s="97" t="s">
        <v>4753</v>
      </c>
      <c r="B47" s="111">
        <v>-178820</v>
      </c>
      <c r="C47" s="97" t="s">
        <v>3996</v>
      </c>
      <c r="D47" s="97">
        <v>0</v>
      </c>
      <c r="E47" s="97">
        <f t="shared" si="5"/>
        <v>18</v>
      </c>
      <c r="F47" s="97">
        <f t="shared" si="6"/>
        <v>0</v>
      </c>
      <c r="G47" s="97">
        <f t="shared" si="7"/>
        <v>-3218760</v>
      </c>
      <c r="L47" t="s">
        <v>25</v>
      </c>
    </row>
    <row r="48" spans="1:14">
      <c r="A48" s="97" t="s">
        <v>4753</v>
      </c>
      <c r="B48" s="111">
        <v>-25000</v>
      </c>
      <c r="C48" s="97" t="s">
        <v>743</v>
      </c>
      <c r="D48" s="97">
        <v>4</v>
      </c>
      <c r="E48" s="97">
        <f t="shared" si="5"/>
        <v>18</v>
      </c>
      <c r="F48" s="97">
        <f t="shared" si="6"/>
        <v>0</v>
      </c>
      <c r="G48" s="97">
        <f t="shared" si="7"/>
        <v>-450000</v>
      </c>
      <c r="L48" t="s">
        <v>25</v>
      </c>
    </row>
    <row r="49" spans="1:13">
      <c r="A49" s="97" t="s">
        <v>4766</v>
      </c>
      <c r="B49" s="111">
        <v>-49500</v>
      </c>
      <c r="C49" s="97" t="s">
        <v>452</v>
      </c>
      <c r="D49" s="97">
        <v>2</v>
      </c>
      <c r="E49" s="97">
        <f t="shared" si="5"/>
        <v>14</v>
      </c>
      <c r="F49" s="97">
        <f t="shared" si="6"/>
        <v>0</v>
      </c>
      <c r="G49" s="97">
        <f t="shared" si="7"/>
        <v>-693000</v>
      </c>
    </row>
    <row r="50" spans="1:13">
      <c r="A50" s="97" t="s">
        <v>4769</v>
      </c>
      <c r="B50" s="111">
        <v>-4500</v>
      </c>
      <c r="C50" s="97" t="s">
        <v>452</v>
      </c>
      <c r="D50" s="97">
        <v>1</v>
      </c>
      <c r="E50" s="97">
        <f t="shared" si="5"/>
        <v>12</v>
      </c>
      <c r="F50" s="97">
        <f t="shared" si="6"/>
        <v>0</v>
      </c>
      <c r="G50" s="97">
        <f t="shared" si="7"/>
        <v>-54000</v>
      </c>
    </row>
    <row r="51" spans="1:13">
      <c r="A51" s="97" t="s">
        <v>4770</v>
      </c>
      <c r="B51" s="111">
        <v>-328000</v>
      </c>
      <c r="C51" s="97" t="s">
        <v>452</v>
      </c>
      <c r="D51" s="97">
        <v>4</v>
      </c>
      <c r="E51" s="97">
        <f t="shared" ref="E51:E61" si="8">E52+D51</f>
        <v>11</v>
      </c>
      <c r="F51" s="97">
        <f t="shared" ref="F51:F61" si="9">IF(B51&gt;0,1,0)</f>
        <v>0</v>
      </c>
      <c r="G51" s="97">
        <f t="shared" ref="G51:G61" si="10">B51*(E51-F51)</f>
        <v>-3608000</v>
      </c>
    </row>
    <row r="52" spans="1:13">
      <c r="A52" s="97" t="s">
        <v>4774</v>
      </c>
      <c r="B52" s="111">
        <v>-195330</v>
      </c>
      <c r="C52" s="97" t="s">
        <v>4779</v>
      </c>
      <c r="D52" s="97">
        <v>1</v>
      </c>
      <c r="E52" s="97">
        <f t="shared" si="8"/>
        <v>7</v>
      </c>
      <c r="F52" s="97">
        <f t="shared" si="9"/>
        <v>0</v>
      </c>
      <c r="G52" s="97">
        <f t="shared" si="10"/>
        <v>-1367310</v>
      </c>
    </row>
    <row r="53" spans="1:13">
      <c r="A53" s="97" t="s">
        <v>4781</v>
      </c>
      <c r="B53" s="111">
        <v>-140730</v>
      </c>
      <c r="C53" s="97" t="s">
        <v>4784</v>
      </c>
      <c r="D53" s="97">
        <v>1</v>
      </c>
      <c r="E53" s="97">
        <f t="shared" si="8"/>
        <v>6</v>
      </c>
      <c r="F53" s="97">
        <f t="shared" si="9"/>
        <v>0</v>
      </c>
      <c r="G53" s="97">
        <f t="shared" si="10"/>
        <v>-844380</v>
      </c>
    </row>
    <row r="54" spans="1:13">
      <c r="A54" s="97" t="s">
        <v>4782</v>
      </c>
      <c r="B54" s="111">
        <v>-4200</v>
      </c>
      <c r="C54" s="97" t="s">
        <v>1053</v>
      </c>
      <c r="D54" s="97">
        <v>0</v>
      </c>
      <c r="E54" s="97">
        <f t="shared" si="8"/>
        <v>5</v>
      </c>
      <c r="F54" s="97">
        <f t="shared" si="9"/>
        <v>0</v>
      </c>
      <c r="G54" s="97">
        <f t="shared" si="10"/>
        <v>-21000</v>
      </c>
    </row>
    <row r="55" spans="1:13">
      <c r="A55" s="97" t="s">
        <v>4782</v>
      </c>
      <c r="B55" s="111">
        <v>-66567</v>
      </c>
      <c r="C55" s="97" t="s">
        <v>3996</v>
      </c>
      <c r="D55" s="97">
        <v>4</v>
      </c>
      <c r="E55" s="97">
        <f t="shared" si="8"/>
        <v>5</v>
      </c>
      <c r="F55" s="97">
        <f t="shared" si="9"/>
        <v>0</v>
      </c>
      <c r="G55" s="97">
        <f t="shared" si="10"/>
        <v>-332835</v>
      </c>
    </row>
    <row r="56" spans="1:13">
      <c r="A56" s="97" t="s">
        <v>4786</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4804</v>
      </c>
      <c r="E1" t="s">
        <v>4805</v>
      </c>
      <c r="F1" t="s">
        <v>8</v>
      </c>
    </row>
    <row r="2" spans="1:6">
      <c r="A2" t="s">
        <v>4808</v>
      </c>
      <c r="B2">
        <v>237</v>
      </c>
      <c r="C2">
        <v>281</v>
      </c>
      <c r="D2">
        <f>B2/C2</f>
        <v>0.84341637010676151</v>
      </c>
      <c r="E2" t="s">
        <v>4809</v>
      </c>
      <c r="F2" t="s">
        <v>4810</v>
      </c>
    </row>
    <row r="3" spans="1:6">
      <c r="A3" t="s">
        <v>4478</v>
      </c>
      <c r="B3">
        <v>134</v>
      </c>
      <c r="C3">
        <v>193</v>
      </c>
      <c r="D3" s="94">
        <f t="shared" ref="D3:D21" si="0">B3/C3</f>
        <v>0.69430051813471505</v>
      </c>
      <c r="E3" t="s">
        <v>4809</v>
      </c>
      <c r="F3" s="94" t="s">
        <v>4810</v>
      </c>
    </row>
    <row r="4" spans="1:6">
      <c r="A4" t="s">
        <v>4811</v>
      </c>
      <c r="B4">
        <v>195</v>
      </c>
      <c r="C4">
        <v>73</v>
      </c>
      <c r="D4" s="94">
        <f t="shared" si="0"/>
        <v>2.6712328767123288</v>
      </c>
      <c r="E4" t="s">
        <v>4812</v>
      </c>
      <c r="F4" t="s">
        <v>4813</v>
      </c>
    </row>
    <row r="5" spans="1:6">
      <c r="A5" t="s">
        <v>4814</v>
      </c>
      <c r="B5">
        <v>1</v>
      </c>
      <c r="C5">
        <v>1</v>
      </c>
      <c r="D5" s="94">
        <f t="shared" si="0"/>
        <v>1</v>
      </c>
      <c r="E5" t="s">
        <v>4812</v>
      </c>
      <c r="F5" t="s">
        <v>4815</v>
      </c>
    </row>
    <row r="6" spans="1:6">
      <c r="A6" t="s">
        <v>4517</v>
      </c>
      <c r="B6">
        <v>163</v>
      </c>
      <c r="C6">
        <v>232</v>
      </c>
      <c r="D6" s="94">
        <f t="shared" si="0"/>
        <v>0.70258620689655171</v>
      </c>
      <c r="F6" s="94" t="s">
        <v>4810</v>
      </c>
    </row>
    <row r="7" spans="1:6">
      <c r="A7" t="s">
        <v>4816</v>
      </c>
      <c r="B7">
        <v>247</v>
      </c>
      <c r="C7">
        <v>250</v>
      </c>
      <c r="D7" s="94">
        <f t="shared" si="0"/>
        <v>0.98799999999999999</v>
      </c>
    </row>
    <row r="8" spans="1:6">
      <c r="A8" t="s">
        <v>4817</v>
      </c>
      <c r="B8">
        <v>335</v>
      </c>
      <c r="C8">
        <v>141</v>
      </c>
      <c r="D8" s="94">
        <f t="shared" si="0"/>
        <v>2.375886524822695</v>
      </c>
      <c r="F8" s="94" t="s">
        <v>4815</v>
      </c>
    </row>
    <row r="9" spans="1:6">
      <c r="A9" t="s">
        <v>4709</v>
      </c>
      <c r="B9">
        <v>150</v>
      </c>
      <c r="C9">
        <v>240</v>
      </c>
      <c r="D9" s="94">
        <f t="shared" si="0"/>
        <v>0.625</v>
      </c>
      <c r="F9" t="s">
        <v>4818</v>
      </c>
    </row>
    <row r="10" spans="1:6">
      <c r="A10" t="s">
        <v>4819</v>
      </c>
      <c r="B10">
        <v>187</v>
      </c>
      <c r="C10">
        <v>208</v>
      </c>
      <c r="D10" s="94">
        <f t="shared" si="0"/>
        <v>0.89903846153846156</v>
      </c>
      <c r="F10" t="s">
        <v>4809</v>
      </c>
    </row>
    <row r="11" spans="1:6">
      <c r="A11" t="s">
        <v>4820</v>
      </c>
      <c r="B11">
        <v>412</v>
      </c>
      <c r="C11">
        <v>183</v>
      </c>
      <c r="D11" s="94">
        <f t="shared" si="0"/>
        <v>2.2513661202185791</v>
      </c>
      <c r="F11" s="94" t="s">
        <v>4815</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4803</v>
      </c>
      <c r="B21">
        <v>113</v>
      </c>
      <c r="C21">
        <v>215</v>
      </c>
      <c r="D21" s="94">
        <f t="shared" si="0"/>
        <v>0.52558139534883719</v>
      </c>
      <c r="E21" t="s">
        <v>4806</v>
      </c>
      <c r="F21" t="s">
        <v>4807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Q15" sqref="Q15"/>
    </sheetView>
  </sheetViews>
  <sheetFormatPr defaultRowHeight="15"/>
  <sheetData>
    <row r="1" spans="1:11" ht="15.75">
      <c r="A1" s="176" t="s">
        <v>4822</v>
      </c>
      <c r="B1" s="176" t="s">
        <v>4823</v>
      </c>
      <c r="C1" s="387" t="s">
        <v>6723</v>
      </c>
      <c r="D1" s="176" t="s">
        <v>6722</v>
      </c>
      <c r="E1" s="387" t="s">
        <v>6724</v>
      </c>
      <c r="F1" s="176" t="s">
        <v>6725</v>
      </c>
      <c r="G1" s="176" t="s">
        <v>6231</v>
      </c>
      <c r="H1" s="176" t="s">
        <v>6912</v>
      </c>
      <c r="I1" s="176" t="s">
        <v>4245</v>
      </c>
      <c r="J1" s="176" t="s">
        <v>4907</v>
      </c>
      <c r="K1" s="376" t="s">
        <v>4652</v>
      </c>
    </row>
    <row r="2" spans="1:11" ht="15.75">
      <c r="A2" s="378" t="s">
        <v>6761</v>
      </c>
      <c r="B2" s="379">
        <v>66006193</v>
      </c>
      <c r="C2" s="379">
        <v>800</v>
      </c>
      <c r="D2" s="379">
        <f t="shared" ref="D2:D22" si="0">B2*C2/$K$2</f>
        <v>4.4004128666666666</v>
      </c>
      <c r="E2" s="378">
        <v>700</v>
      </c>
      <c r="F2" s="378">
        <f t="shared" ref="F2:F22" si="1">B2*E2/$K$2</f>
        <v>3.8503612583333333</v>
      </c>
      <c r="G2" s="378">
        <v>650</v>
      </c>
      <c r="H2" s="378">
        <f t="shared" ref="H2:H22" si="2">B2*G2/$K$2</f>
        <v>3.5753354541666669</v>
      </c>
      <c r="I2" s="378">
        <v>2386</v>
      </c>
      <c r="J2" s="378">
        <f t="shared" ref="J2:J22" si="3">B2*I2/$K$2</f>
        <v>13.124231374833334</v>
      </c>
      <c r="K2" s="379">
        <v>12000000000</v>
      </c>
    </row>
    <row r="3" spans="1:11" ht="15.75">
      <c r="A3" s="380" t="s">
        <v>5787</v>
      </c>
      <c r="B3" s="379">
        <v>1285274355</v>
      </c>
      <c r="C3" s="381">
        <v>450</v>
      </c>
      <c r="D3" s="379">
        <f t="shared" si="0"/>
        <v>48.197788312500002</v>
      </c>
      <c r="E3" s="384">
        <v>308</v>
      </c>
      <c r="F3" s="378">
        <f t="shared" si="1"/>
        <v>32.988708445</v>
      </c>
      <c r="G3" s="380">
        <v>213</v>
      </c>
      <c r="H3" s="378">
        <f t="shared" si="2"/>
        <v>22.813619801249999</v>
      </c>
      <c r="I3" s="380">
        <v>2810</v>
      </c>
      <c r="J3" s="378">
        <f t="shared" si="3"/>
        <v>300.9684114625</v>
      </c>
      <c r="K3" s="394"/>
    </row>
    <row r="4" spans="1:11" ht="15.75">
      <c r="A4" s="378" t="s">
        <v>6755</v>
      </c>
      <c r="B4" s="379">
        <v>995049277</v>
      </c>
      <c r="C4" s="379">
        <v>260</v>
      </c>
      <c r="D4" s="379">
        <f t="shared" si="0"/>
        <v>21.559401001666668</v>
      </c>
      <c r="E4" s="386">
        <v>120</v>
      </c>
      <c r="F4" s="378">
        <f t="shared" si="1"/>
        <v>9.9504927700000003</v>
      </c>
      <c r="G4" s="378">
        <v>30</v>
      </c>
      <c r="H4" s="378">
        <f t="shared" si="2"/>
        <v>2.4876231925000001</v>
      </c>
      <c r="I4" s="378">
        <v>1107</v>
      </c>
      <c r="J4" s="378">
        <f t="shared" si="3"/>
        <v>91.793295803250004</v>
      </c>
      <c r="K4" s="394"/>
    </row>
    <row r="5" spans="1:11" ht="15.75">
      <c r="A5" s="380" t="s">
        <v>6756</v>
      </c>
      <c r="B5" s="381">
        <v>676410539</v>
      </c>
      <c r="C5" s="381">
        <v>300</v>
      </c>
      <c r="D5" s="379">
        <f t="shared" si="0"/>
        <v>16.910263475000001</v>
      </c>
      <c r="E5" s="384">
        <v>257</v>
      </c>
      <c r="F5" s="378">
        <f t="shared" si="1"/>
        <v>14.486459043583332</v>
      </c>
      <c r="G5" s="380">
        <v>130</v>
      </c>
      <c r="H5" s="378">
        <f t="shared" si="2"/>
        <v>7.3277808391666666</v>
      </c>
      <c r="I5" s="380">
        <v>1264</v>
      </c>
      <c r="J5" s="378">
        <f t="shared" si="3"/>
        <v>71.24857677466666</v>
      </c>
      <c r="K5" s="394"/>
    </row>
    <row r="6" spans="1:11" ht="15.75">
      <c r="A6" s="378" t="s">
        <v>6757</v>
      </c>
      <c r="B6" s="379">
        <v>213196988</v>
      </c>
      <c r="C6" s="379">
        <v>200</v>
      </c>
      <c r="D6" s="379">
        <f t="shared" si="0"/>
        <v>3.5532831333333332</v>
      </c>
      <c r="E6" s="386">
        <v>167</v>
      </c>
      <c r="F6" s="378">
        <f t="shared" si="1"/>
        <v>2.9669914163333333</v>
      </c>
      <c r="G6" s="378">
        <v>85</v>
      </c>
      <c r="H6" s="378">
        <f t="shared" si="2"/>
        <v>1.5101453316666666</v>
      </c>
      <c r="I6" s="378">
        <v>1650</v>
      </c>
      <c r="J6" s="378">
        <f t="shared" si="3"/>
        <v>29.31458585</v>
      </c>
      <c r="K6" s="394"/>
    </row>
    <row r="7" spans="1:11" ht="15.75">
      <c r="A7" s="380" t="s">
        <v>4216</v>
      </c>
      <c r="B7" s="381">
        <v>113533718</v>
      </c>
      <c r="C7" s="381">
        <v>300</v>
      </c>
      <c r="D7" s="379">
        <f t="shared" si="0"/>
        <v>2.8383429499999999</v>
      </c>
      <c r="E7" s="384">
        <v>230</v>
      </c>
      <c r="F7" s="378">
        <f t="shared" si="1"/>
        <v>2.1760629283333333</v>
      </c>
      <c r="G7" s="380">
        <v>200</v>
      </c>
      <c r="H7" s="378">
        <f t="shared" si="2"/>
        <v>1.8922286333333334</v>
      </c>
      <c r="I7" s="380">
        <v>1530</v>
      </c>
      <c r="J7" s="378">
        <f t="shared" si="3"/>
        <v>14.475549044999999</v>
      </c>
      <c r="K7" s="394"/>
    </row>
    <row r="8" spans="1:11" ht="15.75">
      <c r="A8" s="378" t="s">
        <v>6263</v>
      </c>
      <c r="B8" s="379">
        <v>1385388043</v>
      </c>
      <c r="C8" s="379">
        <v>350</v>
      </c>
      <c r="D8" s="379">
        <f t="shared" si="0"/>
        <v>40.407151254166664</v>
      </c>
      <c r="E8" s="386">
        <v>190</v>
      </c>
      <c r="F8" s="378">
        <f t="shared" si="1"/>
        <v>21.935310680833332</v>
      </c>
      <c r="G8" s="378">
        <v>130</v>
      </c>
      <c r="H8" s="378">
        <f t="shared" si="2"/>
        <v>15.008370465833334</v>
      </c>
      <c r="I8" s="378">
        <v>2200</v>
      </c>
      <c r="J8" s="378">
        <f t="shared" si="3"/>
        <v>253.98780788333335</v>
      </c>
      <c r="K8" s="394"/>
    </row>
    <row r="9" spans="1:11" ht="15.75">
      <c r="A9" s="380" t="s">
        <v>4509</v>
      </c>
      <c r="B9" s="381">
        <v>1246451029</v>
      </c>
      <c r="C9" s="381">
        <v>260</v>
      </c>
      <c r="D9" s="379">
        <f t="shared" si="0"/>
        <v>27.006438961666667</v>
      </c>
      <c r="E9" s="384">
        <v>130</v>
      </c>
      <c r="F9" s="378">
        <f t="shared" si="1"/>
        <v>13.503219480833334</v>
      </c>
      <c r="G9" s="380">
        <v>28</v>
      </c>
      <c r="H9" s="378">
        <f t="shared" si="2"/>
        <v>2.9083857343333333</v>
      </c>
      <c r="I9" s="380">
        <v>1315</v>
      </c>
      <c r="J9" s="378">
        <f t="shared" si="3"/>
        <v>136.59025859458333</v>
      </c>
      <c r="K9" s="394"/>
    </row>
    <row r="10" spans="1:11" ht="15.75">
      <c r="A10" s="378" t="s">
        <v>5794</v>
      </c>
      <c r="B10" s="379">
        <v>111005114</v>
      </c>
      <c r="C10" s="379">
        <v>250</v>
      </c>
      <c r="D10" s="379">
        <f t="shared" si="0"/>
        <v>2.3126065416666668</v>
      </c>
      <c r="E10" s="386">
        <v>223</v>
      </c>
      <c r="F10" s="378">
        <f t="shared" si="1"/>
        <v>2.0628450351666667</v>
      </c>
      <c r="G10" s="378">
        <v>80</v>
      </c>
      <c r="H10" s="378">
        <f t="shared" si="2"/>
        <v>0.74003409333333336</v>
      </c>
      <c r="I10" s="378">
        <v>1600</v>
      </c>
      <c r="J10" s="378">
        <f t="shared" si="3"/>
        <v>14.800681866666666</v>
      </c>
      <c r="K10" s="394"/>
    </row>
    <row r="11" spans="1:11" ht="15.75">
      <c r="A11" s="380" t="s">
        <v>4476</v>
      </c>
      <c r="B11" s="381">
        <v>7385687</v>
      </c>
      <c r="C11" s="381">
        <v>6000</v>
      </c>
      <c r="D11" s="379">
        <f t="shared" si="0"/>
        <v>3.6928434999999999</v>
      </c>
      <c r="E11" s="384">
        <v>5800</v>
      </c>
      <c r="F11" s="378">
        <f t="shared" si="1"/>
        <v>3.5697487166666666</v>
      </c>
      <c r="G11" s="380">
        <v>5800</v>
      </c>
      <c r="H11" s="378">
        <f t="shared" si="2"/>
        <v>3.5697487166666666</v>
      </c>
      <c r="I11" s="380">
        <v>40260</v>
      </c>
      <c r="J11" s="378">
        <f t="shared" si="3"/>
        <v>24.778979884999998</v>
      </c>
      <c r="K11" s="394"/>
    </row>
    <row r="12" spans="1:11" ht="15.75">
      <c r="A12" s="378" t="s">
        <v>6758</v>
      </c>
      <c r="B12" s="379">
        <v>471875451</v>
      </c>
      <c r="C12" s="379">
        <v>0</v>
      </c>
      <c r="D12" s="379">
        <f t="shared" si="0"/>
        <v>0</v>
      </c>
      <c r="E12" s="386">
        <v>0</v>
      </c>
      <c r="F12" s="378">
        <f t="shared" si="1"/>
        <v>0</v>
      </c>
      <c r="G12" s="378">
        <v>0</v>
      </c>
      <c r="H12" s="378">
        <f t="shared" si="2"/>
        <v>0</v>
      </c>
      <c r="I12" s="378">
        <v>2100</v>
      </c>
      <c r="J12" s="378">
        <f t="shared" si="3"/>
        <v>82.578203924999997</v>
      </c>
      <c r="K12" s="394"/>
    </row>
    <row r="13" spans="1:11" ht="18.75">
      <c r="A13" s="380" t="s">
        <v>4829</v>
      </c>
      <c r="B13" s="381">
        <v>84202942</v>
      </c>
      <c r="C13" s="381">
        <v>3000</v>
      </c>
      <c r="D13" s="379">
        <f t="shared" si="0"/>
        <v>21.050735499999998</v>
      </c>
      <c r="E13" s="384">
        <v>2100</v>
      </c>
      <c r="F13" s="378">
        <f t="shared" si="1"/>
        <v>14.735514849999999</v>
      </c>
      <c r="G13" s="397">
        <v>1350</v>
      </c>
      <c r="H13" s="378">
        <f t="shared" si="2"/>
        <v>9.4728309750000008</v>
      </c>
      <c r="I13" s="380">
        <v>17768</v>
      </c>
      <c r="J13" s="378">
        <f t="shared" si="3"/>
        <v>124.67648945466667</v>
      </c>
      <c r="K13" s="394"/>
    </row>
    <row r="14" spans="1:11" ht="15.75">
      <c r="A14" s="378" t="s">
        <v>4358</v>
      </c>
      <c r="B14" s="379">
        <v>6727696</v>
      </c>
      <c r="C14" s="379">
        <v>4500</v>
      </c>
      <c r="D14" s="379">
        <f t="shared" si="0"/>
        <v>2.5228860000000002</v>
      </c>
      <c r="E14" s="386">
        <v>2400</v>
      </c>
      <c r="F14" s="378">
        <f t="shared" si="1"/>
        <v>1.3455391999999999</v>
      </c>
      <c r="G14" s="378">
        <v>2300</v>
      </c>
      <c r="H14" s="378">
        <f t="shared" si="2"/>
        <v>1.2894750666666666</v>
      </c>
      <c r="I14" s="378">
        <v>29290</v>
      </c>
      <c r="J14" s="378">
        <f t="shared" si="3"/>
        <v>16.421184653333334</v>
      </c>
      <c r="K14" s="394"/>
    </row>
    <row r="15" spans="1:11" ht="15.75">
      <c r="A15" s="380" t="s">
        <v>5836</v>
      </c>
      <c r="B15" s="381">
        <v>288259927</v>
      </c>
      <c r="C15" s="381">
        <v>550</v>
      </c>
      <c r="D15" s="379">
        <f t="shared" si="0"/>
        <v>13.211913320833334</v>
      </c>
      <c r="E15" s="384">
        <v>430</v>
      </c>
      <c r="F15" s="378">
        <f t="shared" si="1"/>
        <v>10.329314050833334</v>
      </c>
      <c r="G15" s="380">
        <v>380</v>
      </c>
      <c r="H15" s="378">
        <f t="shared" si="2"/>
        <v>9.1282310216666662</v>
      </c>
      <c r="I15" s="380">
        <v>3341</v>
      </c>
      <c r="J15" s="378">
        <f t="shared" si="3"/>
        <v>80.256368008916667</v>
      </c>
      <c r="K15" s="394" t="s">
        <v>25</v>
      </c>
    </row>
    <row r="16" spans="1:11" ht="15.75">
      <c r="A16" s="378" t="s">
        <v>5793</v>
      </c>
      <c r="B16" s="379">
        <v>103608037</v>
      </c>
      <c r="C16" s="379">
        <v>160</v>
      </c>
      <c r="D16" s="379">
        <f t="shared" si="0"/>
        <v>1.3814404933333333</v>
      </c>
      <c r="E16" s="378">
        <v>134</v>
      </c>
      <c r="F16" s="378">
        <f t="shared" si="1"/>
        <v>1.1569564131666668</v>
      </c>
      <c r="G16" s="378">
        <v>60</v>
      </c>
      <c r="H16" s="378">
        <f t="shared" si="2"/>
        <v>0.51804018500000004</v>
      </c>
      <c r="I16" s="378">
        <v>1235</v>
      </c>
      <c r="J16" s="378">
        <f t="shared" si="3"/>
        <v>10.662993807916667</v>
      </c>
      <c r="K16" s="394" t="s">
        <v>25</v>
      </c>
    </row>
    <row r="17" spans="1:11" ht="15.75">
      <c r="A17" s="380" t="s">
        <v>5761</v>
      </c>
      <c r="B17" s="381">
        <v>38247354</v>
      </c>
      <c r="C17" s="381">
        <v>1000</v>
      </c>
      <c r="D17" s="379">
        <f t="shared" si="0"/>
        <v>3.1872794999999998</v>
      </c>
      <c r="E17" s="380">
        <v>727</v>
      </c>
      <c r="F17" s="378">
        <f t="shared" si="1"/>
        <v>2.3171521964999999</v>
      </c>
      <c r="G17" s="380">
        <v>650</v>
      </c>
      <c r="H17" s="378">
        <f t="shared" si="2"/>
        <v>2.0717316750000001</v>
      </c>
      <c r="I17" s="380">
        <v>4805</v>
      </c>
      <c r="J17" s="378">
        <f t="shared" si="3"/>
        <v>15.3148779975</v>
      </c>
      <c r="K17" s="394"/>
    </row>
    <row r="18" spans="1:11" ht="15.75">
      <c r="A18" s="378" t="s">
        <v>6759</v>
      </c>
      <c r="B18" s="379">
        <v>79825258</v>
      </c>
      <c r="C18" s="379">
        <v>250</v>
      </c>
      <c r="D18" s="379">
        <f t="shared" si="0"/>
        <v>1.6630262083333334</v>
      </c>
      <c r="E18" s="378">
        <v>197</v>
      </c>
      <c r="F18" s="378">
        <f t="shared" si="1"/>
        <v>1.3104646521666667</v>
      </c>
      <c r="G18" s="378">
        <v>180</v>
      </c>
      <c r="H18" s="378">
        <f t="shared" si="2"/>
        <v>1.1973788700000001</v>
      </c>
      <c r="I18" s="378">
        <v>2370</v>
      </c>
      <c r="J18" s="378">
        <f t="shared" si="3"/>
        <v>15.765488455</v>
      </c>
      <c r="K18" s="394"/>
    </row>
    <row r="19" spans="1:11" ht="15.75">
      <c r="A19" s="380" t="s">
        <v>4354</v>
      </c>
      <c r="B19" s="381">
        <v>6427897</v>
      </c>
      <c r="C19" s="381">
        <v>3000</v>
      </c>
      <c r="D19" s="379">
        <f t="shared" si="0"/>
        <v>1.6069742499999999</v>
      </c>
      <c r="E19" s="380">
        <v>2037</v>
      </c>
      <c r="F19" s="378">
        <f t="shared" si="1"/>
        <v>1.09113551575</v>
      </c>
      <c r="G19" s="380">
        <v>2000</v>
      </c>
      <c r="H19" s="378">
        <f t="shared" si="2"/>
        <v>1.0713161666666666</v>
      </c>
      <c r="I19" s="380">
        <v>18724</v>
      </c>
      <c r="J19" s="378">
        <f t="shared" si="3"/>
        <v>10.029661952333333</v>
      </c>
      <c r="K19" s="394"/>
    </row>
    <row r="20" spans="1:11" ht="15.75">
      <c r="A20" s="378" t="s">
        <v>5788</v>
      </c>
      <c r="B20" s="379">
        <v>131231371</v>
      </c>
      <c r="C20" s="379">
        <v>300</v>
      </c>
      <c r="D20" s="379">
        <f t="shared" si="0"/>
        <v>3.2807842749999998</v>
      </c>
      <c r="E20" s="378">
        <v>173</v>
      </c>
      <c r="F20" s="378">
        <f t="shared" si="1"/>
        <v>1.8919189319166667</v>
      </c>
      <c r="G20" s="378">
        <v>170</v>
      </c>
      <c r="H20" s="378">
        <f t="shared" si="2"/>
        <v>1.8591110891666667</v>
      </c>
      <c r="I20" s="378">
        <v>4454</v>
      </c>
      <c r="J20" s="378">
        <f t="shared" si="3"/>
        <v>48.70871053616667</v>
      </c>
      <c r="K20" s="394"/>
    </row>
    <row r="21" spans="1:11" ht="15.75">
      <c r="A21" s="380" t="s">
        <v>6760</v>
      </c>
      <c r="B21" s="381">
        <v>891943775</v>
      </c>
      <c r="C21" s="381">
        <v>0</v>
      </c>
      <c r="D21" s="379">
        <f t="shared" si="0"/>
        <v>0</v>
      </c>
      <c r="E21" s="381">
        <v>0</v>
      </c>
      <c r="F21" s="378">
        <f t="shared" si="1"/>
        <v>0</v>
      </c>
      <c r="G21" s="381">
        <v>0</v>
      </c>
      <c r="H21" s="378">
        <f t="shared" si="2"/>
        <v>0</v>
      </c>
      <c r="I21" s="380">
        <v>1100</v>
      </c>
      <c r="J21" s="378">
        <f t="shared" si="3"/>
        <v>81.761512708333328</v>
      </c>
      <c r="K21" s="394"/>
    </row>
    <row r="22" spans="1:11" ht="15.75">
      <c r="A22" s="380" t="s">
        <v>6730</v>
      </c>
      <c r="B22" s="381">
        <v>1</v>
      </c>
      <c r="C22" s="381">
        <v>500000000000</v>
      </c>
      <c r="D22" s="379">
        <f t="shared" si="0"/>
        <v>41.666666666666664</v>
      </c>
      <c r="E22" s="381">
        <v>500000000000</v>
      </c>
      <c r="F22" s="378">
        <f t="shared" si="1"/>
        <v>41.666666666666664</v>
      </c>
      <c r="G22" s="381">
        <v>300000000000</v>
      </c>
      <c r="H22" s="378">
        <f t="shared" si="2"/>
        <v>25</v>
      </c>
      <c r="I22" s="380">
        <v>3000000000000</v>
      </c>
      <c r="J22" s="378">
        <f t="shared" si="3"/>
        <v>250</v>
      </c>
      <c r="K22" s="394"/>
    </row>
    <row r="23" spans="1:11" ht="15.75">
      <c r="A23" s="382"/>
      <c r="B23" s="375"/>
      <c r="C23" s="375"/>
      <c r="D23" s="375"/>
      <c r="E23" s="382"/>
      <c r="F23" s="382"/>
      <c r="G23" s="382"/>
      <c r="H23" s="382"/>
      <c r="I23" s="382"/>
      <c r="J23" s="382"/>
      <c r="K23" s="394"/>
    </row>
    <row r="24" spans="1:11" ht="21">
      <c r="A24" s="382"/>
      <c r="B24" s="382"/>
      <c r="C24" s="382"/>
      <c r="D24" s="375">
        <f>SUM(D2:D23)</f>
        <v>260.45023821083339</v>
      </c>
      <c r="E24" s="382"/>
      <c r="F24" s="382">
        <f>SUM(F3:F23)</f>
        <v>179.48450099375</v>
      </c>
      <c r="G24" s="382"/>
      <c r="H24" s="382">
        <f>SUM(H3:H23)</f>
        <v>109.86605185724999</v>
      </c>
      <c r="I24" s="383" t="s">
        <v>4433</v>
      </c>
      <c r="J24" s="383">
        <f>SUM(J2:J22)</f>
        <v>1687.2578700389997</v>
      </c>
      <c r="K24" s="394"/>
    </row>
    <row r="25" spans="1:11" ht="21">
      <c r="A25" s="382"/>
      <c r="B25" s="382"/>
      <c r="C25" s="382"/>
      <c r="D25" s="382" t="s">
        <v>6</v>
      </c>
      <c r="E25" s="382"/>
      <c r="F25" s="382" t="s">
        <v>6</v>
      </c>
      <c r="G25" s="382"/>
      <c r="H25" s="382" t="s">
        <v>6</v>
      </c>
      <c r="I25" s="383" t="s">
        <v>5009</v>
      </c>
      <c r="J25" s="383">
        <v>805</v>
      </c>
      <c r="K25" s="394"/>
    </row>
    <row r="26" spans="1:11" ht="21">
      <c r="A26" s="382"/>
      <c r="B26" s="382"/>
      <c r="C26" s="382"/>
      <c r="D26" s="382"/>
      <c r="E26" s="382"/>
      <c r="F26" s="382"/>
      <c r="G26" s="382"/>
      <c r="H26" s="382"/>
      <c r="I26" s="383" t="s">
        <v>5010</v>
      </c>
      <c r="J26" s="383">
        <f>J25/J24</f>
        <v>0.47710549424279347</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
  <sheetViews>
    <sheetView workbookViewId="0">
      <selection activeCell="M32" sqref="M32"/>
    </sheetView>
  </sheetViews>
  <sheetFormatPr defaultRowHeight="15"/>
  <cols>
    <col min="1" max="1" width="19" bestFit="1" customWidth="1"/>
    <col min="2" max="2" width="15.425781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15.42578125" bestFit="1" customWidth="1"/>
  </cols>
  <sheetData>
    <row r="1" spans="1:11" ht="15.75">
      <c r="A1" s="176" t="s">
        <v>4822</v>
      </c>
      <c r="B1" s="176" t="s">
        <v>4823</v>
      </c>
      <c r="C1" s="387" t="s">
        <v>6723</v>
      </c>
      <c r="D1" s="176" t="s">
        <v>6722</v>
      </c>
      <c r="E1" s="387" t="s">
        <v>6724</v>
      </c>
      <c r="F1" s="176" t="s">
        <v>6725</v>
      </c>
      <c r="G1" s="176" t="s">
        <v>6231</v>
      </c>
      <c r="H1" s="176" t="s">
        <v>6735</v>
      </c>
      <c r="I1" s="176" t="s">
        <v>4245</v>
      </c>
      <c r="J1" s="176" t="s">
        <v>4907</v>
      </c>
      <c r="K1" s="376" t="s">
        <v>5790</v>
      </c>
    </row>
    <row r="2" spans="1:11" ht="15.75">
      <c r="A2" s="378" t="s">
        <v>6726</v>
      </c>
      <c r="B2" s="379">
        <v>980726326</v>
      </c>
      <c r="C2" s="379">
        <v>800</v>
      </c>
      <c r="D2" s="379">
        <f t="shared" ref="D2:D21" si="0">B2*C2/$K$2</f>
        <v>9.6267614822085896</v>
      </c>
      <c r="E2" s="386">
        <v>534</v>
      </c>
      <c r="F2" s="378">
        <f t="shared" ref="F2:F21" si="1">B2*E2/$K$2</f>
        <v>6.4258632893742336</v>
      </c>
      <c r="G2" s="378">
        <v>500</v>
      </c>
      <c r="H2" s="378">
        <f t="shared" ref="H2:H21" si="2">B2*G2/$K$2</f>
        <v>6.0167259263803681</v>
      </c>
      <c r="I2" s="378">
        <v>4383</v>
      </c>
      <c r="J2" s="378">
        <f t="shared" ref="J2:J21" si="3">B2*I2/$K$2</f>
        <v>52.742619470650304</v>
      </c>
      <c r="K2" s="379">
        <v>81500000000</v>
      </c>
    </row>
    <row r="3" spans="1:11" ht="15.75">
      <c r="A3" s="380" t="s">
        <v>4476</v>
      </c>
      <c r="B3" s="381">
        <v>478789262</v>
      </c>
      <c r="C3" s="381">
        <v>2000</v>
      </c>
      <c r="D3" s="379">
        <f t="shared" si="0"/>
        <v>11.749429742331289</v>
      </c>
      <c r="E3" s="384">
        <v>6439</v>
      </c>
      <c r="F3" s="378">
        <f t="shared" si="1"/>
        <v>37.827289055435585</v>
      </c>
      <c r="G3" s="380">
        <v>6400</v>
      </c>
      <c r="H3" s="378">
        <f t="shared" si="2"/>
        <v>37.598175175460121</v>
      </c>
      <c r="I3" s="380">
        <v>37780</v>
      </c>
      <c r="J3" s="378">
        <f t="shared" si="3"/>
        <v>221.94672783263803</v>
      </c>
      <c r="K3" s="377"/>
    </row>
    <row r="4" spans="1:11" ht="15.75">
      <c r="A4" s="378" t="s">
        <v>6734</v>
      </c>
      <c r="B4" s="379">
        <v>1226605805</v>
      </c>
      <c r="C4" s="379">
        <v>150</v>
      </c>
      <c r="D4" s="379">
        <f t="shared" si="0"/>
        <v>2.2575566963190186</v>
      </c>
      <c r="E4" s="386">
        <v>108</v>
      </c>
      <c r="F4" s="378">
        <f t="shared" si="1"/>
        <v>1.6254408213496931</v>
      </c>
      <c r="G4" s="378">
        <v>10.8</v>
      </c>
      <c r="H4" s="378">
        <f t="shared" si="2"/>
        <v>0.16254408213496932</v>
      </c>
      <c r="I4" s="378">
        <v>1242</v>
      </c>
      <c r="J4" s="378">
        <f t="shared" si="3"/>
        <v>18.692569445521471</v>
      </c>
      <c r="K4" s="377"/>
    </row>
    <row r="5" spans="1:11" ht="15.75">
      <c r="A5" s="380" t="s">
        <v>6733</v>
      </c>
      <c r="B5" s="381">
        <v>2939645030</v>
      </c>
      <c r="C5" s="381">
        <v>10</v>
      </c>
      <c r="D5" s="379">
        <f t="shared" si="0"/>
        <v>0.36069264171779142</v>
      </c>
      <c r="E5" s="384">
        <v>3.2</v>
      </c>
      <c r="F5" s="378">
        <f t="shared" si="1"/>
        <v>0.11542164534969325</v>
      </c>
      <c r="G5" s="380">
        <v>0</v>
      </c>
      <c r="H5" s="378">
        <f t="shared" si="2"/>
        <v>0</v>
      </c>
      <c r="I5" s="380">
        <v>473</v>
      </c>
      <c r="J5" s="378">
        <f t="shared" si="3"/>
        <v>17.060761953251532</v>
      </c>
      <c r="K5" s="377"/>
    </row>
    <row r="6" spans="1:11" ht="15.75">
      <c r="A6" s="378" t="s">
        <v>6736</v>
      </c>
      <c r="B6" s="379">
        <v>1270296458</v>
      </c>
      <c r="C6" s="379">
        <v>300</v>
      </c>
      <c r="D6" s="379">
        <f t="shared" si="0"/>
        <v>4.6759378822085891</v>
      </c>
      <c r="E6" s="386">
        <v>300</v>
      </c>
      <c r="F6" s="378">
        <f t="shared" si="1"/>
        <v>4.6759378822085891</v>
      </c>
      <c r="G6" s="378">
        <v>270</v>
      </c>
      <c r="H6" s="378">
        <f t="shared" si="2"/>
        <v>4.2083440939877299</v>
      </c>
      <c r="I6" s="378">
        <v>2402</v>
      </c>
      <c r="J6" s="378">
        <f t="shared" si="3"/>
        <v>37.438675976883438</v>
      </c>
      <c r="K6" s="377"/>
    </row>
    <row r="7" spans="1:11" ht="15.75">
      <c r="A7" s="380" t="s">
        <v>5797</v>
      </c>
      <c r="B7" s="381">
        <v>1336082292</v>
      </c>
      <c r="C7" s="381">
        <v>2500</v>
      </c>
      <c r="D7" s="379">
        <f t="shared" si="0"/>
        <v>40.984119386503068</v>
      </c>
      <c r="E7" s="384">
        <v>1450</v>
      </c>
      <c r="F7" s="378">
        <f t="shared" si="1"/>
        <v>23.77078924417178</v>
      </c>
      <c r="G7" s="380">
        <v>1150</v>
      </c>
      <c r="H7" s="378">
        <f t="shared" si="2"/>
        <v>18.85269491779141</v>
      </c>
      <c r="I7" s="380">
        <v>18424</v>
      </c>
      <c r="J7" s="378">
        <f t="shared" si="3"/>
        <v>302.03656623077302</v>
      </c>
      <c r="K7" s="377"/>
    </row>
    <row r="8" spans="1:11" ht="15.75">
      <c r="A8" s="378" t="s">
        <v>4371</v>
      </c>
      <c r="B8" s="379">
        <v>1344540394</v>
      </c>
      <c r="C8" s="379">
        <v>800</v>
      </c>
      <c r="D8" s="379">
        <f t="shared" si="0"/>
        <v>13.197942517791411</v>
      </c>
      <c r="E8" s="386">
        <v>450</v>
      </c>
      <c r="F8" s="378">
        <f t="shared" si="1"/>
        <v>7.4238426662576691</v>
      </c>
      <c r="G8" s="378">
        <v>350</v>
      </c>
      <c r="H8" s="378">
        <f t="shared" si="2"/>
        <v>5.7740998515337427</v>
      </c>
      <c r="I8" s="378">
        <v>4330</v>
      </c>
      <c r="J8" s="378">
        <f t="shared" si="3"/>
        <v>71.433863877546017</v>
      </c>
      <c r="K8" s="377"/>
    </row>
    <row r="9" spans="1:11" ht="15.75">
      <c r="A9" s="380" t="s">
        <v>6737</v>
      </c>
      <c r="B9" s="381">
        <v>1200002514</v>
      </c>
      <c r="C9" s="381">
        <v>300</v>
      </c>
      <c r="D9" s="379">
        <f t="shared" si="0"/>
        <v>4.4171871680981596</v>
      </c>
      <c r="E9" s="384">
        <v>300</v>
      </c>
      <c r="F9" s="378">
        <f t="shared" si="1"/>
        <v>4.4171871680981596</v>
      </c>
      <c r="G9" s="380">
        <v>250</v>
      </c>
      <c r="H9" s="378">
        <f t="shared" si="2"/>
        <v>3.6809893067484665</v>
      </c>
      <c r="I9" s="380">
        <v>1897</v>
      </c>
      <c r="J9" s="378">
        <f t="shared" si="3"/>
        <v>27.931346859607363</v>
      </c>
      <c r="K9" s="377"/>
    </row>
    <row r="10" spans="1:11" ht="15.75">
      <c r="A10" s="378" t="s">
        <v>4477</v>
      </c>
      <c r="B10" s="379">
        <v>1114663695</v>
      </c>
      <c r="C10" s="379">
        <v>600</v>
      </c>
      <c r="D10" s="379">
        <f t="shared" si="0"/>
        <v>8.2061130920245393</v>
      </c>
      <c r="E10" s="386">
        <v>650</v>
      </c>
      <c r="F10" s="378">
        <f t="shared" si="1"/>
        <v>8.8899558496932514</v>
      </c>
      <c r="G10" s="378">
        <v>600</v>
      </c>
      <c r="H10" s="378">
        <f t="shared" si="2"/>
        <v>8.2061130920245393</v>
      </c>
      <c r="I10" s="378">
        <v>5020</v>
      </c>
      <c r="J10" s="378">
        <f t="shared" si="3"/>
        <v>68.657812869938653</v>
      </c>
      <c r="K10" s="377"/>
    </row>
    <row r="11" spans="1:11" ht="15.75">
      <c r="A11" s="380" t="s">
        <v>5761</v>
      </c>
      <c r="B11" s="381">
        <v>2321974047</v>
      </c>
      <c r="C11" s="381">
        <v>900</v>
      </c>
      <c r="D11" s="379">
        <f t="shared" si="0"/>
        <v>25.641431193865031</v>
      </c>
      <c r="E11" s="384">
        <v>727</v>
      </c>
      <c r="F11" s="378">
        <f t="shared" si="1"/>
        <v>20.712578308822085</v>
      </c>
      <c r="G11" s="380">
        <v>650</v>
      </c>
      <c r="H11" s="378">
        <f t="shared" si="2"/>
        <v>18.518811417791412</v>
      </c>
      <c r="I11" s="380">
        <v>4707</v>
      </c>
      <c r="J11" s="378">
        <f t="shared" si="3"/>
        <v>134.10468514391411</v>
      </c>
      <c r="K11" s="377"/>
    </row>
    <row r="12" spans="1:11" ht="15.75">
      <c r="A12" s="378" t="s">
        <v>4831</v>
      </c>
      <c r="B12" s="379">
        <v>770933241</v>
      </c>
      <c r="C12" s="379">
        <v>1700</v>
      </c>
      <c r="D12" s="379">
        <f t="shared" si="0"/>
        <v>16.080816069938649</v>
      </c>
      <c r="E12" s="386">
        <v>802</v>
      </c>
      <c r="F12" s="378">
        <f t="shared" si="1"/>
        <v>7.586361463582822</v>
      </c>
      <c r="G12" s="378">
        <v>590</v>
      </c>
      <c r="H12" s="378">
        <f t="shared" si="2"/>
        <v>5.5809891066257666</v>
      </c>
      <c r="I12" s="378">
        <v>8104</v>
      </c>
      <c r="J12" s="378">
        <f t="shared" si="3"/>
        <v>76.658196135754608</v>
      </c>
      <c r="K12" s="377"/>
    </row>
    <row r="13" spans="1:11" ht="21">
      <c r="A13" s="380" t="s">
        <v>5793</v>
      </c>
      <c r="B13" s="381">
        <v>21836381454</v>
      </c>
      <c r="C13" s="381">
        <v>150</v>
      </c>
      <c r="D13" s="379">
        <f t="shared" si="0"/>
        <v>40.189659117791408</v>
      </c>
      <c r="E13" s="384">
        <v>134</v>
      </c>
      <c r="F13" s="378">
        <f t="shared" si="1"/>
        <v>35.902762145226994</v>
      </c>
      <c r="G13" s="385">
        <v>60</v>
      </c>
      <c r="H13" s="388">
        <f t="shared" si="2"/>
        <v>16.075863647116563</v>
      </c>
      <c r="I13" s="380">
        <v>1210</v>
      </c>
      <c r="J13" s="378">
        <f t="shared" si="3"/>
        <v>324.19658355018407</v>
      </c>
      <c r="K13" s="377"/>
    </row>
    <row r="14" spans="1:11" ht="15.75">
      <c r="A14" s="378" t="s">
        <v>6727</v>
      </c>
      <c r="B14" s="379">
        <v>880634647</v>
      </c>
      <c r="C14" s="379">
        <v>1400</v>
      </c>
      <c r="D14" s="379">
        <f t="shared" si="0"/>
        <v>15.127466328834355</v>
      </c>
      <c r="E14" s="386">
        <v>1090</v>
      </c>
      <c r="F14" s="378">
        <f t="shared" si="1"/>
        <v>11.777813070306749</v>
      </c>
      <c r="G14" s="378">
        <v>1000</v>
      </c>
      <c r="H14" s="378">
        <f t="shared" si="2"/>
        <v>10.80533309202454</v>
      </c>
      <c r="I14" s="378">
        <v>9067</v>
      </c>
      <c r="J14" s="378">
        <f t="shared" si="3"/>
        <v>97.971955145386502</v>
      </c>
      <c r="K14" s="377"/>
    </row>
    <row r="15" spans="1:11" ht="15.75">
      <c r="A15" s="380" t="s">
        <v>5270</v>
      </c>
      <c r="B15" s="381">
        <v>5351332707</v>
      </c>
      <c r="C15" s="381">
        <v>160</v>
      </c>
      <c r="D15" s="379">
        <f t="shared" si="0"/>
        <v>10.50568384196319</v>
      </c>
      <c r="E15" s="384">
        <v>160</v>
      </c>
      <c r="F15" s="378">
        <f t="shared" si="1"/>
        <v>10.50568384196319</v>
      </c>
      <c r="G15" s="380">
        <v>150</v>
      </c>
      <c r="H15" s="378">
        <f t="shared" si="2"/>
        <v>9.8490786018404908</v>
      </c>
      <c r="I15" s="380">
        <v>941</v>
      </c>
      <c r="J15" s="378">
        <f t="shared" si="3"/>
        <v>61.786553095546012</v>
      </c>
      <c r="K15" s="377" t="s">
        <v>25</v>
      </c>
    </row>
    <row r="16" spans="1:11" ht="15.75">
      <c r="A16" s="378" t="s">
        <v>6728</v>
      </c>
      <c r="B16" s="379">
        <v>1376998000</v>
      </c>
      <c r="C16" s="379">
        <v>1800</v>
      </c>
      <c r="D16" s="379">
        <f t="shared" si="0"/>
        <v>30.412225766871167</v>
      </c>
      <c r="E16" s="386">
        <v>1370</v>
      </c>
      <c r="F16" s="378">
        <f t="shared" si="1"/>
        <v>23.147082944785275</v>
      </c>
      <c r="G16" s="378">
        <v>1420</v>
      </c>
      <c r="H16" s="378">
        <f t="shared" si="2"/>
        <v>23.991866993865031</v>
      </c>
      <c r="I16" s="378">
        <v>9875</v>
      </c>
      <c r="J16" s="378">
        <f t="shared" si="3"/>
        <v>166.84484969325155</v>
      </c>
      <c r="K16" s="377" t="s">
        <v>25</v>
      </c>
    </row>
    <row r="17" spans="1:11" ht="15.75">
      <c r="A17" s="380" t="s">
        <v>6729</v>
      </c>
      <c r="B17" s="381">
        <v>174270956</v>
      </c>
      <c r="C17" s="381">
        <v>800</v>
      </c>
      <c r="D17" s="379">
        <f t="shared" si="0"/>
        <v>1.7106351509202453</v>
      </c>
      <c r="E17" s="384">
        <v>800</v>
      </c>
      <c r="F17" s="378">
        <f t="shared" si="1"/>
        <v>1.7106351509202453</v>
      </c>
      <c r="G17" s="380">
        <v>600</v>
      </c>
      <c r="H17" s="378">
        <f t="shared" si="2"/>
        <v>1.282976363190184</v>
      </c>
      <c r="I17" s="380">
        <v>6319</v>
      </c>
      <c r="J17" s="378">
        <f t="shared" si="3"/>
        <v>13.511879398331288</v>
      </c>
      <c r="K17" s="377"/>
    </row>
    <row r="18" spans="1:11" ht="15.75">
      <c r="A18" s="378" t="s">
        <v>6730</v>
      </c>
      <c r="B18" s="379">
        <v>1</v>
      </c>
      <c r="C18" s="379">
        <v>350000000000</v>
      </c>
      <c r="D18" s="379">
        <f t="shared" si="0"/>
        <v>4.294478527607362</v>
      </c>
      <c r="E18" s="386">
        <v>300000000000</v>
      </c>
      <c r="F18" s="378">
        <f t="shared" si="1"/>
        <v>3.6809815950920246</v>
      </c>
      <c r="G18" s="378">
        <v>250000000000</v>
      </c>
      <c r="H18" s="378">
        <f t="shared" si="2"/>
        <v>3.0674846625766872</v>
      </c>
      <c r="I18" s="378">
        <v>1800000000000</v>
      </c>
      <c r="J18" s="378">
        <f t="shared" si="3"/>
        <v>22.085889570552148</v>
      </c>
      <c r="K18" s="377"/>
    </row>
    <row r="19" spans="1:11" ht="15.75">
      <c r="A19" s="380" t="s">
        <v>6731</v>
      </c>
      <c r="B19" s="381">
        <v>12494998000</v>
      </c>
      <c r="C19" s="381">
        <v>800</v>
      </c>
      <c r="D19" s="379">
        <f t="shared" si="0"/>
        <v>122.65028711656441</v>
      </c>
      <c r="E19" s="384">
        <v>595</v>
      </c>
      <c r="F19" s="378">
        <f t="shared" si="1"/>
        <v>91.221151042944783</v>
      </c>
      <c r="G19" s="380">
        <v>59.5</v>
      </c>
      <c r="H19" s="378">
        <f t="shared" si="2"/>
        <v>9.1221151042944779</v>
      </c>
      <c r="I19" s="380">
        <v>3000</v>
      </c>
      <c r="J19" s="378">
        <f t="shared" si="3"/>
        <v>459.93857668711655</v>
      </c>
      <c r="K19" s="377"/>
    </row>
    <row r="20" spans="1:11" ht="15.75">
      <c r="A20" s="378" t="s">
        <v>6732</v>
      </c>
      <c r="B20" s="379">
        <v>3062221439</v>
      </c>
      <c r="C20" s="379">
        <v>30</v>
      </c>
      <c r="D20" s="379">
        <f t="shared" si="0"/>
        <v>1.1271980757055216</v>
      </c>
      <c r="E20" s="386">
        <v>20</v>
      </c>
      <c r="F20" s="378">
        <f t="shared" si="1"/>
        <v>0.751465383803681</v>
      </c>
      <c r="G20" s="378">
        <v>2</v>
      </c>
      <c r="H20" s="378">
        <f t="shared" si="2"/>
        <v>7.5146538380368097E-2</v>
      </c>
      <c r="I20" s="378">
        <v>2000</v>
      </c>
      <c r="J20" s="378">
        <f t="shared" si="3"/>
        <v>75.146538380368099</v>
      </c>
    </row>
    <row r="21" spans="1:11" ht="15.75">
      <c r="A21" s="380" t="s">
        <v>6267</v>
      </c>
      <c r="B21" s="381">
        <v>1</v>
      </c>
      <c r="C21" s="381">
        <v>750000000000</v>
      </c>
      <c r="D21" s="379">
        <f t="shared" si="0"/>
        <v>9.2024539877300615</v>
      </c>
      <c r="E21" s="381">
        <v>500000000000</v>
      </c>
      <c r="F21" s="378">
        <f t="shared" si="1"/>
        <v>6.1349693251533743</v>
      </c>
      <c r="G21" s="381">
        <v>300000000000</v>
      </c>
      <c r="H21" s="378">
        <f t="shared" si="2"/>
        <v>3.6809815950920246</v>
      </c>
      <c r="I21" s="380">
        <v>4000000000000</v>
      </c>
      <c r="J21" s="378">
        <f t="shared" si="3"/>
        <v>49.079754601226995</v>
      </c>
    </row>
    <row r="22" spans="1:11" ht="15.75">
      <c r="A22" s="382"/>
      <c r="B22" s="375"/>
      <c r="C22" s="375"/>
      <c r="D22" s="375"/>
      <c r="E22" s="382"/>
      <c r="F22" s="382"/>
      <c r="G22" s="382"/>
      <c r="H22" s="382"/>
      <c r="I22" s="382"/>
      <c r="J22" s="382"/>
    </row>
    <row r="23" spans="1:11" ht="21">
      <c r="A23" s="382"/>
      <c r="B23" s="382"/>
      <c r="C23" s="382"/>
      <c r="D23" s="375">
        <f>SUM(D2:D22)</f>
        <v>372.41807578699377</v>
      </c>
      <c r="E23" s="382"/>
      <c r="F23" s="382">
        <f>SUM(F3:F22)</f>
        <v>301.87734860516559</v>
      </c>
      <c r="G23" s="382"/>
      <c r="H23" s="382">
        <f>SUM(H2:H22)</f>
        <v>186.55033356885892</v>
      </c>
      <c r="I23" s="383" t="s">
        <v>4433</v>
      </c>
      <c r="J23" s="383">
        <f>SUM(J2:J21)</f>
        <v>2299.2664059184417</v>
      </c>
    </row>
    <row r="24" spans="1:11" ht="21">
      <c r="A24" s="382"/>
      <c r="B24" s="382"/>
      <c r="C24" s="382"/>
      <c r="D24" s="382" t="s">
        <v>6</v>
      </c>
      <c r="E24" s="382"/>
      <c r="F24" s="382" t="s">
        <v>6</v>
      </c>
      <c r="G24" s="382"/>
      <c r="H24" s="382" t="s">
        <v>6</v>
      </c>
      <c r="I24" s="383" t="s">
        <v>5009</v>
      </c>
      <c r="J24" s="383">
        <v>1400</v>
      </c>
    </row>
    <row r="25" spans="1:11" ht="21">
      <c r="A25" s="382"/>
      <c r="B25" s="382"/>
      <c r="C25" s="382"/>
      <c r="D25" s="382"/>
      <c r="E25" s="382"/>
      <c r="F25" s="382"/>
      <c r="G25" s="382"/>
      <c r="H25" s="382"/>
      <c r="I25" s="383" t="s">
        <v>5010</v>
      </c>
      <c r="J25" s="383">
        <f>J24/J23</f>
        <v>0.6088898599989635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activeCell="C28" sqref="C28"/>
    </sheetView>
  </sheetViews>
  <sheetFormatPr defaultRowHeight="15"/>
  <cols>
    <col min="1" max="1" width="20.140625" bestFit="1" customWidth="1"/>
    <col min="2" max="2" width="14.28515625" bestFit="1" customWidth="1"/>
    <col min="3" max="3" width="24.7109375" bestFit="1" customWidth="1"/>
    <col min="4" max="4" width="15" bestFit="1" customWidth="1"/>
    <col min="5" max="5" width="24.7109375" bestFit="1" customWidth="1"/>
    <col min="6" max="6" width="15.5703125" bestFit="1" customWidth="1"/>
    <col min="7" max="7" width="16.5703125" bestFit="1" customWidth="1"/>
    <col min="8" max="8" width="25.5703125" bestFit="1" customWidth="1"/>
    <col min="9" max="9" width="9.5703125" bestFit="1" customWidth="1"/>
    <col min="10" max="10" width="18.85546875" bestFit="1" customWidth="1"/>
    <col min="11" max="11" width="9" bestFit="1" customWidth="1"/>
    <col min="12" max="12" width="18.85546875" bestFit="1" customWidth="1"/>
    <col min="13" max="13" width="15.42578125" bestFit="1" customWidth="1"/>
  </cols>
  <sheetData>
    <row r="1" spans="1:13" ht="15.75">
      <c r="A1" s="176" t="s">
        <v>4822</v>
      </c>
      <c r="B1" s="176" t="s">
        <v>4823</v>
      </c>
      <c r="C1" s="387" t="s">
        <v>6723</v>
      </c>
      <c r="D1" s="176" t="s">
        <v>6722</v>
      </c>
      <c r="E1" s="387" t="s">
        <v>6724</v>
      </c>
      <c r="F1" s="176" t="s">
        <v>6725</v>
      </c>
      <c r="G1" s="176" t="s">
        <v>6231</v>
      </c>
      <c r="H1" s="176" t="s">
        <v>6268</v>
      </c>
      <c r="I1" s="176" t="s">
        <v>4245</v>
      </c>
      <c r="J1" s="176" t="s">
        <v>4907</v>
      </c>
      <c r="K1" s="176" t="s">
        <v>6721</v>
      </c>
      <c r="L1" s="176" t="s">
        <v>4907</v>
      </c>
      <c r="M1" s="376" t="s">
        <v>5261</v>
      </c>
    </row>
    <row r="2" spans="1:13" ht="15.75">
      <c r="A2" s="378" t="s">
        <v>6263</v>
      </c>
      <c r="B2" s="379">
        <v>3502073352</v>
      </c>
      <c r="C2" s="379">
        <v>350</v>
      </c>
      <c r="D2" s="379">
        <f t="shared" ref="D2:D14" si="0">B2*C2/$M$2</f>
        <v>40.857522439999997</v>
      </c>
      <c r="E2" s="386">
        <v>190</v>
      </c>
      <c r="F2" s="378">
        <f>0.75*B2*E2/$M$2</f>
        <v>16.634848422000001</v>
      </c>
      <c r="G2" s="378">
        <v>130</v>
      </c>
      <c r="H2" s="378">
        <f>0.75*B2*G2/$M$2</f>
        <v>11.381738393999999</v>
      </c>
      <c r="I2" s="378">
        <v>2255</v>
      </c>
      <c r="J2" s="378">
        <f t="shared" ref="J2:J14" si="1">B2*I2/$M$2</f>
        <v>263.23918029200001</v>
      </c>
      <c r="K2" s="378">
        <f>I2</f>
        <v>2255</v>
      </c>
      <c r="L2" s="378">
        <f t="shared" ref="L2:L15" si="2">B2*K2/$M$2</f>
        <v>263.23918029200001</v>
      </c>
      <c r="M2" s="379">
        <v>30000000000</v>
      </c>
    </row>
    <row r="3" spans="1:13" ht="23.25">
      <c r="A3" s="380" t="s">
        <v>4216</v>
      </c>
      <c r="B3" s="381">
        <v>3356161798</v>
      </c>
      <c r="C3" s="381">
        <v>340</v>
      </c>
      <c r="D3" s="381">
        <f t="shared" si="0"/>
        <v>38.036500377333333</v>
      </c>
      <c r="E3" s="384">
        <v>230</v>
      </c>
      <c r="F3" s="380">
        <f t="shared" ref="F3:F14" si="3">B3*E3/$M$2</f>
        <v>25.730573784666667</v>
      </c>
      <c r="G3" s="380">
        <v>200</v>
      </c>
      <c r="H3" s="380">
        <f t="shared" ref="H3:H14" si="4">B3*G3/$M$2</f>
        <v>22.374411986666665</v>
      </c>
      <c r="I3" s="380">
        <v>1250</v>
      </c>
      <c r="J3" s="380">
        <f t="shared" si="1"/>
        <v>139.84007491666668</v>
      </c>
      <c r="K3" s="392">
        <v>3300</v>
      </c>
      <c r="L3" s="385">
        <f t="shared" si="2"/>
        <v>369.17779777999999</v>
      </c>
      <c r="M3" s="94"/>
    </row>
    <row r="4" spans="1:13" ht="15.75">
      <c r="A4" s="378" t="s">
        <v>4509</v>
      </c>
      <c r="B4" s="379">
        <v>2003857980</v>
      </c>
      <c r="C4" s="379">
        <v>280</v>
      </c>
      <c r="D4" s="379">
        <f t="shared" si="0"/>
        <v>18.702674479999999</v>
      </c>
      <c r="E4" s="386">
        <v>130</v>
      </c>
      <c r="F4" s="378">
        <f t="shared" si="3"/>
        <v>8.6833845800000002</v>
      </c>
      <c r="G4" s="378">
        <v>28</v>
      </c>
      <c r="H4" s="378">
        <f t="shared" si="4"/>
        <v>1.8702674480000001</v>
      </c>
      <c r="I4" s="378">
        <v>1309</v>
      </c>
      <c r="J4" s="378">
        <f t="shared" si="1"/>
        <v>87.435003194000004</v>
      </c>
      <c r="K4" s="378">
        <f t="shared" ref="K4:K14" si="5">I4</f>
        <v>1309</v>
      </c>
      <c r="L4" s="378">
        <f t="shared" si="2"/>
        <v>87.435003194000004</v>
      </c>
      <c r="M4" s="94"/>
    </row>
    <row r="5" spans="1:13" ht="15.75">
      <c r="A5" s="380" t="s">
        <v>5787</v>
      </c>
      <c r="B5" s="381">
        <v>499499998</v>
      </c>
      <c r="C5" s="381">
        <v>450</v>
      </c>
      <c r="D5" s="381">
        <f t="shared" si="0"/>
        <v>7.4924999699999999</v>
      </c>
      <c r="E5" s="384">
        <v>308</v>
      </c>
      <c r="F5" s="380">
        <f t="shared" si="3"/>
        <v>5.1281999794666664</v>
      </c>
      <c r="G5" s="380">
        <v>213</v>
      </c>
      <c r="H5" s="380">
        <f t="shared" si="4"/>
        <v>3.5464499857999998</v>
      </c>
      <c r="I5" s="380">
        <v>2819</v>
      </c>
      <c r="J5" s="380">
        <f t="shared" si="1"/>
        <v>46.936349812066666</v>
      </c>
      <c r="K5" s="378">
        <f t="shared" si="5"/>
        <v>2819</v>
      </c>
      <c r="L5" s="380">
        <f t="shared" si="2"/>
        <v>46.936349812066666</v>
      </c>
      <c r="M5" s="94"/>
    </row>
    <row r="6" spans="1:13" ht="15.75">
      <c r="A6" s="378" t="s">
        <v>6265</v>
      </c>
      <c r="B6" s="379">
        <v>4161561525</v>
      </c>
      <c r="C6" s="379">
        <v>80</v>
      </c>
      <c r="D6" s="379">
        <f t="shared" si="0"/>
        <v>11.0974974</v>
      </c>
      <c r="E6" s="386">
        <v>66</v>
      </c>
      <c r="F6" s="378">
        <f t="shared" si="3"/>
        <v>9.1554353549999998</v>
      </c>
      <c r="G6" s="378">
        <v>6.6</v>
      </c>
      <c r="H6" s="378">
        <f t="shared" si="4"/>
        <v>0.91554353550000001</v>
      </c>
      <c r="I6" s="378">
        <v>332</v>
      </c>
      <c r="J6" s="378">
        <f t="shared" si="1"/>
        <v>46.054614209999997</v>
      </c>
      <c r="K6" s="378">
        <f t="shared" si="5"/>
        <v>332</v>
      </c>
      <c r="L6" s="378">
        <f t="shared" si="2"/>
        <v>46.054614209999997</v>
      </c>
      <c r="M6" s="94"/>
    </row>
    <row r="7" spans="1:13" ht="15.75">
      <c r="A7" s="380" t="s">
        <v>6264</v>
      </c>
      <c r="B7" s="381">
        <v>5610540000</v>
      </c>
      <c r="C7" s="381">
        <v>60</v>
      </c>
      <c r="D7" s="381">
        <f t="shared" si="0"/>
        <v>11.221080000000001</v>
      </c>
      <c r="E7" s="384">
        <v>58</v>
      </c>
      <c r="F7" s="380">
        <f t="shared" si="3"/>
        <v>10.847044</v>
      </c>
      <c r="G7" s="380">
        <v>15</v>
      </c>
      <c r="H7" s="380">
        <f t="shared" si="4"/>
        <v>2.8052700000000002</v>
      </c>
      <c r="I7" s="380">
        <v>216</v>
      </c>
      <c r="J7" s="380">
        <f t="shared" si="1"/>
        <v>40.395887999999999</v>
      </c>
      <c r="K7" s="378">
        <f t="shared" si="5"/>
        <v>216</v>
      </c>
      <c r="L7" s="380">
        <f t="shared" si="2"/>
        <v>40.395887999999999</v>
      </c>
      <c r="M7" s="94"/>
    </row>
    <row r="8" spans="1:13" ht="15.75">
      <c r="A8" s="378" t="s">
        <v>4520</v>
      </c>
      <c r="B8" s="379">
        <v>978026662</v>
      </c>
      <c r="C8" s="379">
        <v>140</v>
      </c>
      <c r="D8" s="379">
        <f t="shared" si="0"/>
        <v>4.5641244226666666</v>
      </c>
      <c r="E8" s="386">
        <v>50</v>
      </c>
      <c r="F8" s="378">
        <f t="shared" si="3"/>
        <v>1.6300444366666667</v>
      </c>
      <c r="G8" s="378">
        <v>50</v>
      </c>
      <c r="H8" s="378">
        <f t="shared" si="4"/>
        <v>1.6300444366666667</v>
      </c>
      <c r="I8" s="378">
        <v>648</v>
      </c>
      <c r="J8" s="378">
        <f t="shared" si="1"/>
        <v>21.125375899200002</v>
      </c>
      <c r="K8" s="378">
        <f t="shared" si="5"/>
        <v>648</v>
      </c>
      <c r="L8" s="378">
        <f t="shared" si="2"/>
        <v>21.125375899200002</v>
      </c>
      <c r="M8" s="94"/>
    </row>
    <row r="9" spans="1:13" ht="15.75">
      <c r="A9" s="378" t="s">
        <v>6266</v>
      </c>
      <c r="B9" s="379">
        <v>337500000</v>
      </c>
      <c r="C9" s="379">
        <v>280</v>
      </c>
      <c r="D9" s="379">
        <f t="shared" si="0"/>
        <v>3.15</v>
      </c>
      <c r="E9" s="386">
        <v>219.8</v>
      </c>
      <c r="F9" s="378">
        <f t="shared" si="3"/>
        <v>2.47275</v>
      </c>
      <c r="G9" s="378">
        <v>237</v>
      </c>
      <c r="H9" s="378">
        <f t="shared" si="4"/>
        <v>2.6662499999999998</v>
      </c>
      <c r="I9" s="378">
        <v>1641</v>
      </c>
      <c r="J9" s="378">
        <f t="shared" si="1"/>
        <v>18.46125</v>
      </c>
      <c r="K9" s="378">
        <f t="shared" si="5"/>
        <v>1641</v>
      </c>
      <c r="L9" s="378">
        <f t="shared" si="2"/>
        <v>18.46125</v>
      </c>
      <c r="M9" s="94"/>
    </row>
    <row r="10" spans="1:13" ht="15.75">
      <c r="A10" s="380" t="s">
        <v>5794</v>
      </c>
      <c r="B10" s="381">
        <v>35697979</v>
      </c>
      <c r="C10" s="381">
        <v>300</v>
      </c>
      <c r="D10" s="381">
        <f t="shared" si="0"/>
        <v>0.35697979000000002</v>
      </c>
      <c r="E10" s="384">
        <v>223</v>
      </c>
      <c r="F10" s="380">
        <f t="shared" si="3"/>
        <v>0.26535497723333334</v>
      </c>
      <c r="G10" s="380">
        <v>80</v>
      </c>
      <c r="H10" s="380">
        <f t="shared" si="4"/>
        <v>9.5194610666666665E-2</v>
      </c>
      <c r="I10" s="380">
        <v>1607</v>
      </c>
      <c r="J10" s="380">
        <f t="shared" si="1"/>
        <v>1.9122217417666667</v>
      </c>
      <c r="K10" s="378">
        <f t="shared" si="5"/>
        <v>1607</v>
      </c>
      <c r="L10" s="380">
        <f t="shared" si="2"/>
        <v>1.9122217417666667</v>
      </c>
      <c r="M10" s="94"/>
    </row>
    <row r="11" spans="1:13" ht="15.75">
      <c r="A11" s="378" t="s">
        <v>5938</v>
      </c>
      <c r="B11" s="379">
        <v>158220192</v>
      </c>
      <c r="C11" s="379">
        <v>800</v>
      </c>
      <c r="D11" s="379">
        <f t="shared" si="0"/>
        <v>4.2192051199999998</v>
      </c>
      <c r="E11" s="386">
        <v>578</v>
      </c>
      <c r="F11" s="378">
        <f t="shared" si="3"/>
        <v>3.0483756992000002</v>
      </c>
      <c r="G11" s="378">
        <v>300</v>
      </c>
      <c r="H11" s="378">
        <f t="shared" si="4"/>
        <v>1.5822019199999999</v>
      </c>
      <c r="I11" s="378">
        <v>1453</v>
      </c>
      <c r="J11" s="378">
        <f t="shared" si="1"/>
        <v>7.6631312991999998</v>
      </c>
      <c r="K11" s="378">
        <f t="shared" si="5"/>
        <v>1453</v>
      </c>
      <c r="L11" s="378">
        <f t="shared" si="2"/>
        <v>7.6631312991999998</v>
      </c>
      <c r="M11" s="94"/>
    </row>
    <row r="12" spans="1:13" ht="15.75">
      <c r="A12" s="380" t="s">
        <v>4371</v>
      </c>
      <c r="B12" s="381">
        <v>101805550</v>
      </c>
      <c r="C12" s="381">
        <v>800</v>
      </c>
      <c r="D12" s="381">
        <f t="shared" si="0"/>
        <v>2.7148146666666668</v>
      </c>
      <c r="E12" s="384">
        <v>424</v>
      </c>
      <c r="F12" s="380">
        <f t="shared" si="3"/>
        <v>1.4388517733333333</v>
      </c>
      <c r="G12" s="380">
        <v>370</v>
      </c>
      <c r="H12" s="380">
        <f t="shared" si="4"/>
        <v>1.2556017833333333</v>
      </c>
      <c r="I12" s="380">
        <v>4589</v>
      </c>
      <c r="J12" s="380">
        <f t="shared" si="1"/>
        <v>15.572855631666666</v>
      </c>
      <c r="K12" s="378">
        <f t="shared" si="5"/>
        <v>4589</v>
      </c>
      <c r="L12" s="380">
        <f t="shared" si="2"/>
        <v>15.572855631666666</v>
      </c>
      <c r="M12" s="94"/>
    </row>
    <row r="13" spans="1:13" ht="15.75">
      <c r="A13" s="378" t="s">
        <v>6720</v>
      </c>
      <c r="B13" s="379">
        <v>1</v>
      </c>
      <c r="C13" s="379">
        <v>1000000000000</v>
      </c>
      <c r="D13" s="379">
        <f t="shared" si="0"/>
        <v>33.333333333333336</v>
      </c>
      <c r="E13" s="379">
        <v>600000000000</v>
      </c>
      <c r="F13" s="378">
        <f t="shared" si="3"/>
        <v>20</v>
      </c>
      <c r="G13" s="379">
        <v>400000000000</v>
      </c>
      <c r="H13" s="378">
        <f t="shared" si="4"/>
        <v>13.333333333333334</v>
      </c>
      <c r="I13" s="378">
        <v>6000000000000</v>
      </c>
      <c r="J13" s="378">
        <f t="shared" si="1"/>
        <v>200</v>
      </c>
      <c r="K13" s="378">
        <f t="shared" si="5"/>
        <v>6000000000000</v>
      </c>
      <c r="L13" s="378">
        <f t="shared" si="2"/>
        <v>200</v>
      </c>
      <c r="M13" s="94"/>
    </row>
    <row r="14" spans="1:13" ht="15.75">
      <c r="A14" s="380" t="s">
        <v>6267</v>
      </c>
      <c r="B14" s="381">
        <v>1</v>
      </c>
      <c r="C14" s="381">
        <v>750000000000</v>
      </c>
      <c r="D14" s="381">
        <f t="shared" si="0"/>
        <v>25</v>
      </c>
      <c r="E14" s="381">
        <v>500000000000</v>
      </c>
      <c r="F14" s="380">
        <f t="shared" si="3"/>
        <v>16.666666666666668</v>
      </c>
      <c r="G14" s="381">
        <v>300000000000</v>
      </c>
      <c r="H14" s="380">
        <f t="shared" si="4"/>
        <v>10</v>
      </c>
      <c r="I14" s="380">
        <v>4000000000000</v>
      </c>
      <c r="J14" s="380">
        <f t="shared" si="1"/>
        <v>133.33333333333334</v>
      </c>
      <c r="K14" s="378">
        <f t="shared" si="5"/>
        <v>4000000000000</v>
      </c>
      <c r="L14" s="380">
        <f t="shared" si="2"/>
        <v>133.33333333333334</v>
      </c>
      <c r="M14" s="94"/>
    </row>
    <row r="15" spans="1:13" ht="15.75">
      <c r="A15" s="382"/>
      <c r="B15" s="375"/>
      <c r="C15" s="375"/>
      <c r="D15" s="375"/>
      <c r="E15" s="382"/>
      <c r="F15" s="382"/>
      <c r="G15" s="382"/>
      <c r="H15" s="382"/>
      <c r="I15" s="382"/>
      <c r="J15" s="382"/>
      <c r="K15" s="382"/>
      <c r="L15" s="378">
        <f t="shared" si="2"/>
        <v>0</v>
      </c>
      <c r="M15" s="94"/>
    </row>
    <row r="16" spans="1:13" ht="21">
      <c r="A16" s="382"/>
      <c r="B16" s="382"/>
      <c r="C16" s="382"/>
      <c r="D16" s="382">
        <f>SUM(D3:D15)</f>
        <v>159.88870956</v>
      </c>
      <c r="E16" s="382"/>
      <c r="F16" s="382">
        <f>SUM(F3:F15)</f>
        <v>105.06668125223334</v>
      </c>
      <c r="G16" s="382"/>
      <c r="H16" s="382">
        <f>SUM(H3:H15)</f>
        <v>62.074569039966669</v>
      </c>
      <c r="I16" s="383" t="s">
        <v>4433</v>
      </c>
      <c r="J16" s="383">
        <f>SUM(J2:J14)</f>
        <v>1021.9692783299</v>
      </c>
      <c r="K16" s="383" t="s">
        <v>4433</v>
      </c>
      <c r="L16" s="388">
        <f>SUM(L2:L14)</f>
        <v>1251.3070011932332</v>
      </c>
      <c r="M16" s="94"/>
    </row>
    <row r="17" spans="1:13" ht="21">
      <c r="A17" s="382"/>
      <c r="B17" s="382"/>
      <c r="C17" s="382"/>
      <c r="D17" s="382" t="s">
        <v>6</v>
      </c>
      <c r="E17" s="382"/>
      <c r="F17" s="382" t="s">
        <v>6</v>
      </c>
      <c r="G17" s="382"/>
      <c r="H17" s="382" t="s">
        <v>6</v>
      </c>
      <c r="I17" s="383" t="s">
        <v>5009</v>
      </c>
      <c r="J17" s="383">
        <v>430</v>
      </c>
      <c r="K17" s="383"/>
      <c r="L17" s="388"/>
      <c r="M17" s="94"/>
    </row>
    <row r="18" spans="1:13" ht="21">
      <c r="A18" s="382"/>
      <c r="B18" s="382"/>
      <c r="C18" s="382"/>
      <c r="D18" s="382"/>
      <c r="E18" s="382"/>
      <c r="F18" s="382"/>
      <c r="G18" s="382"/>
      <c r="H18" s="382"/>
      <c r="I18" s="383" t="s">
        <v>5010</v>
      </c>
      <c r="J18" s="383">
        <f>J17/J16</f>
        <v>0.42075628799987519</v>
      </c>
      <c r="K18" s="383" t="s">
        <v>5010</v>
      </c>
      <c r="L18" s="388">
        <f>J17/L16</f>
        <v>0.34364068896758071</v>
      </c>
      <c r="M18" s="94"/>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4601</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4601</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4601</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4604</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4609</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4615</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4615</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4624</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4617</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4618</v>
      </c>
      <c r="B22" s="18">
        <v>-324747</v>
      </c>
      <c r="C22" s="18">
        <v>0</v>
      </c>
      <c r="D22" s="111">
        <f t="shared" si="0"/>
        <v>-324747</v>
      </c>
      <c r="E22" s="19" t="s">
        <v>4625</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4632</v>
      </c>
      <c r="B23" s="18">
        <v>-297992</v>
      </c>
      <c r="C23" s="18">
        <v>0</v>
      </c>
      <c r="D23" s="111">
        <f t="shared" si="0"/>
        <v>-297992</v>
      </c>
      <c r="E23" s="19" t="s">
        <v>4633</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4640</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4602</v>
      </c>
      <c r="F51" s="94"/>
      <c r="G51" s="94"/>
      <c r="H51" s="94"/>
      <c r="I51" s="94"/>
      <c r="J51" s="94"/>
      <c r="K51" s="94"/>
      <c r="L51" s="94"/>
      <c r="M51" s="94"/>
      <c r="N51" s="94"/>
      <c r="O51" s="94"/>
      <c r="P51" s="94"/>
      <c r="Q51" s="94"/>
      <c r="R51" s="94"/>
      <c r="S51" s="94"/>
    </row>
    <row r="52" spans="1:19">
      <c r="A52" s="94"/>
      <c r="B52" s="94"/>
      <c r="C52" s="94"/>
      <c r="D52" s="18">
        <v>114710</v>
      </c>
      <c r="E52" s="120" t="s">
        <v>4605</v>
      </c>
      <c r="F52" s="112" t="s">
        <v>25</v>
      </c>
      <c r="G52" s="41" t="s">
        <v>25</v>
      </c>
      <c r="H52" s="94"/>
      <c r="I52" s="94"/>
      <c r="J52" s="94"/>
      <c r="K52" s="94"/>
      <c r="L52" s="94"/>
      <c r="M52" s="94"/>
      <c r="N52" s="94"/>
      <c r="O52" s="94"/>
      <c r="P52" s="94"/>
      <c r="Q52" s="94"/>
      <c r="R52" s="94"/>
      <c r="S52" s="94"/>
    </row>
    <row r="53" spans="1:19">
      <c r="A53" s="94"/>
      <c r="B53" s="94"/>
      <c r="C53" s="94"/>
      <c r="D53" s="18">
        <v>55120</v>
      </c>
      <c r="E53" s="120" t="s">
        <v>4616</v>
      </c>
      <c r="F53" s="112"/>
      <c r="G53" s="41"/>
      <c r="H53" s="94"/>
      <c r="I53" s="94"/>
      <c r="J53" s="94"/>
      <c r="K53" s="94"/>
      <c r="L53" s="94"/>
      <c r="M53" s="94"/>
      <c r="N53" s="94"/>
      <c r="O53" s="94"/>
      <c r="P53" s="94"/>
      <c r="Q53" s="94"/>
      <c r="R53" s="94"/>
      <c r="S53" s="94"/>
    </row>
    <row r="54" spans="1:19">
      <c r="A54" s="94"/>
      <c r="B54" s="94"/>
      <c r="C54" s="94"/>
      <c r="D54" s="18">
        <v>115000</v>
      </c>
      <c r="E54" s="120" t="s">
        <v>4621</v>
      </c>
      <c r="F54" s="112"/>
      <c r="G54" s="41"/>
      <c r="H54" s="94"/>
      <c r="I54" s="94"/>
      <c r="J54" s="94"/>
      <c r="K54" s="94"/>
      <c r="L54" s="94"/>
      <c r="M54" s="94"/>
      <c r="N54" s="94"/>
      <c r="O54" s="94"/>
      <c r="P54" s="94"/>
      <c r="Q54" s="94"/>
      <c r="R54" s="94"/>
      <c r="S54" s="94"/>
    </row>
    <row r="55" spans="1:19">
      <c r="A55" s="94"/>
      <c r="B55" s="94"/>
      <c r="C55" s="94"/>
      <c r="D55" s="18">
        <v>247560</v>
      </c>
      <c r="E55" s="120" t="s">
        <v>4622</v>
      </c>
      <c r="F55" s="112"/>
      <c r="G55" s="41"/>
      <c r="H55" s="94"/>
      <c r="I55" s="94"/>
      <c r="J55" s="94"/>
      <c r="K55" s="94"/>
      <c r="L55" s="94"/>
      <c r="M55" s="94"/>
      <c r="N55" s="94"/>
      <c r="O55" s="94"/>
      <c r="P55" s="94"/>
      <c r="Q55" s="94"/>
      <c r="R55" s="94"/>
      <c r="S55" s="94"/>
    </row>
    <row r="56" spans="1:19">
      <c r="A56" s="94"/>
      <c r="B56" s="94"/>
      <c r="C56" s="94"/>
      <c r="D56" s="18">
        <v>77187</v>
      </c>
      <c r="E56" s="120" t="s">
        <v>4623</v>
      </c>
      <c r="F56" s="94"/>
      <c r="G56" s="94"/>
      <c r="H56" s="94" t="s">
        <v>25</v>
      </c>
      <c r="I56" s="94"/>
      <c r="J56" s="94"/>
      <c r="K56" s="94"/>
      <c r="L56" s="94"/>
      <c r="M56" s="94"/>
      <c r="N56" s="94"/>
      <c r="O56" s="94"/>
      <c r="P56" s="94"/>
      <c r="Q56" s="94"/>
      <c r="R56" s="94"/>
      <c r="S56" s="94"/>
    </row>
    <row r="57" spans="1:19">
      <c r="A57" s="94"/>
      <c r="B57" s="94"/>
      <c r="C57" s="94"/>
      <c r="D57" s="18">
        <v>-140000</v>
      </c>
      <c r="E57" s="120" t="s">
        <v>4626</v>
      </c>
      <c r="F57" s="94"/>
      <c r="G57" s="94"/>
      <c r="H57" s="94"/>
      <c r="I57" s="94"/>
      <c r="J57" s="94"/>
      <c r="K57" s="94"/>
      <c r="L57" s="94"/>
      <c r="M57" s="94"/>
      <c r="N57" s="94"/>
      <c r="O57" s="94"/>
      <c r="P57" s="94"/>
      <c r="Q57" s="94"/>
      <c r="R57" s="94"/>
      <c r="S57" s="94"/>
    </row>
    <row r="58" spans="1:19">
      <c r="A58" s="94"/>
      <c r="B58" s="94"/>
      <c r="C58" s="94"/>
      <c r="D58" s="18">
        <v>-1600000</v>
      </c>
      <c r="E58" s="120" t="s">
        <v>4627</v>
      </c>
      <c r="F58" s="94"/>
      <c r="G58" s="94"/>
      <c r="H58" s="94"/>
      <c r="I58" s="94"/>
      <c r="J58" s="94"/>
      <c r="K58" s="94"/>
      <c r="L58" s="94"/>
      <c r="M58" s="94"/>
      <c r="N58" s="94"/>
      <c r="O58" s="94"/>
      <c r="P58" s="94"/>
      <c r="Q58" s="94"/>
      <c r="R58" s="94"/>
      <c r="S58" s="94"/>
    </row>
    <row r="59" spans="1:19">
      <c r="A59" s="94"/>
      <c r="B59" s="94"/>
      <c r="C59" s="94"/>
      <c r="D59" s="18">
        <v>-2000</v>
      </c>
      <c r="E59" s="120" t="s">
        <v>4634</v>
      </c>
      <c r="F59" s="94"/>
      <c r="G59" s="94"/>
      <c r="H59" s="94"/>
      <c r="I59" s="94"/>
      <c r="J59" s="94"/>
      <c r="K59" s="94"/>
      <c r="L59" s="94"/>
      <c r="M59" s="94"/>
      <c r="N59" s="94"/>
      <c r="O59" s="94"/>
      <c r="P59" s="94"/>
      <c r="Q59" s="94"/>
      <c r="R59" s="94"/>
      <c r="S59" s="94"/>
    </row>
    <row r="60" spans="1:19">
      <c r="A60" s="94"/>
      <c r="B60" s="94"/>
      <c r="C60" s="94"/>
      <c r="D60" s="18">
        <v>40000</v>
      </c>
      <c r="E60" s="120" t="s">
        <v>4644</v>
      </c>
      <c r="F60" s="94"/>
      <c r="G60" s="94"/>
      <c r="H60" s="94"/>
      <c r="I60" s="94"/>
      <c r="J60" s="94"/>
      <c r="K60" s="94"/>
      <c r="L60" s="94"/>
      <c r="M60" s="94"/>
      <c r="N60" s="94"/>
      <c r="O60" s="94"/>
      <c r="P60" s="94"/>
      <c r="Q60" s="94"/>
      <c r="R60" s="94"/>
      <c r="S60" s="94"/>
    </row>
    <row r="61" spans="1:19">
      <c r="A61" s="94"/>
      <c r="B61" s="94"/>
      <c r="C61" s="94"/>
      <c r="D61" s="18">
        <v>-146877</v>
      </c>
      <c r="E61" s="120" t="s">
        <v>4645</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5" t="s">
        <v>4643</v>
      </c>
      <c r="B2" s="111">
        <f>'بهمن 97'!B32</f>
        <v>54414</v>
      </c>
      <c r="C2" s="1">
        <f>'بهمن 97'!C32</f>
        <v>0</v>
      </c>
      <c r="D2" s="111">
        <f>B2-C2</f>
        <v>54414</v>
      </c>
      <c r="E2" s="205" t="s">
        <v>59</v>
      </c>
      <c r="F2" s="94">
        <v>30</v>
      </c>
      <c r="G2" s="94">
        <f>B2*F2</f>
        <v>1632420</v>
      </c>
      <c r="H2" s="94">
        <f>C2*F2</f>
        <v>0</v>
      </c>
      <c r="I2" s="94">
        <f>D2*F2</f>
        <v>1632420</v>
      </c>
      <c r="J2" s="94"/>
      <c r="K2" s="94"/>
      <c r="L2" s="94"/>
      <c r="M2" s="94"/>
      <c r="N2" s="94"/>
      <c r="O2" s="94"/>
      <c r="P2" s="94"/>
      <c r="Q2" s="94"/>
      <c r="R2" s="94"/>
      <c r="S2" s="94"/>
      <c r="T2" s="94"/>
      <c r="U2" s="94"/>
      <c r="V2" s="94"/>
    </row>
    <row r="3" spans="1:22">
      <c r="A3" s="20" t="s">
        <v>4651</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4668</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4674</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4674</v>
      </c>
      <c r="B6" s="18">
        <v>-1866154</v>
      </c>
      <c r="C6" s="18">
        <v>0</v>
      </c>
      <c r="D6" s="111">
        <f t="shared" si="0"/>
        <v>-1866154</v>
      </c>
      <c r="E6" s="19" t="s">
        <v>4680</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4674</v>
      </c>
      <c r="B7" s="18">
        <v>-36600</v>
      </c>
      <c r="C7" s="18">
        <v>0</v>
      </c>
      <c r="D7" s="111">
        <f t="shared" si="0"/>
        <v>-36600</v>
      </c>
      <c r="E7" s="19" t="s">
        <v>4681</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4682</v>
      </c>
      <c r="B8" s="18">
        <v>-492000</v>
      </c>
      <c r="C8" s="18">
        <v>0</v>
      </c>
      <c r="D8" s="111">
        <f t="shared" si="0"/>
        <v>-492000</v>
      </c>
      <c r="E8" s="19" t="s">
        <v>4683</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4682</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4682</v>
      </c>
      <c r="B10" s="18">
        <v>-40000</v>
      </c>
      <c r="C10" s="18">
        <v>0</v>
      </c>
      <c r="D10" s="111">
        <f t="shared" si="0"/>
        <v>-40000</v>
      </c>
      <c r="E10" s="19" t="s">
        <v>4685</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4686</v>
      </c>
      <c r="B11" s="18">
        <v>-66000</v>
      </c>
      <c r="C11" s="18">
        <v>0</v>
      </c>
      <c r="D11" s="111">
        <f t="shared" si="0"/>
        <v>-66000</v>
      </c>
      <c r="E11" s="19" t="s">
        <v>4685</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4687</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4687</v>
      </c>
      <c r="B13" s="18">
        <v>-200500</v>
      </c>
      <c r="C13" s="18">
        <v>0</v>
      </c>
      <c r="D13" s="111">
        <f t="shared" si="0"/>
        <v>-200500</v>
      </c>
      <c r="E13" s="20" t="s">
        <v>4688</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4692</v>
      </c>
      <c r="B14" s="18">
        <v>1563000</v>
      </c>
      <c r="C14" s="18">
        <v>0</v>
      </c>
      <c r="D14" s="111">
        <f t="shared" si="0"/>
        <v>1563000</v>
      </c>
      <c r="E14" s="20" t="s">
        <v>4694</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4692</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4701</v>
      </c>
      <c r="B16" s="18">
        <v>-20000</v>
      </c>
      <c r="C16" s="18">
        <v>0</v>
      </c>
      <c r="D16" s="111">
        <f t="shared" si="0"/>
        <v>-20000</v>
      </c>
      <c r="E16" s="20" t="s">
        <v>4704</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4713</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4717</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4722</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4727</v>
      </c>
      <c r="B20" s="18">
        <v>400000</v>
      </c>
      <c r="C20" s="18">
        <v>0</v>
      </c>
      <c r="D20" s="111">
        <f t="shared" si="0"/>
        <v>400000</v>
      </c>
      <c r="E20" s="19" t="s">
        <v>4728</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4730</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4730</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4730</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4732</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4732</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4733</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4733</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4738</v>
      </c>
      <c r="B28" s="18">
        <v>433375</v>
      </c>
      <c r="C28" s="18">
        <v>0</v>
      </c>
      <c r="D28" s="111">
        <f t="shared" si="0"/>
        <v>433375</v>
      </c>
      <c r="E28" s="19" t="s">
        <v>4741</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4747</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4747</v>
      </c>
      <c r="B30" s="18">
        <v>-300000</v>
      </c>
      <c r="C30" s="18">
        <v>0</v>
      </c>
      <c r="D30" s="111">
        <f t="shared" si="0"/>
        <v>-300000</v>
      </c>
      <c r="E30" s="19" t="s">
        <v>4749</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4747</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4751</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5" t="s">
        <v>6</v>
      </c>
      <c r="B34" s="111">
        <f>SUM(B2:B33)</f>
        <v>1093523</v>
      </c>
      <c r="C34" s="111">
        <f>SUM(C2:C33)</f>
        <v>0</v>
      </c>
      <c r="D34" s="111">
        <f>SUM(D2:D33)</f>
        <v>1093523</v>
      </c>
      <c r="E34" s="205"/>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4649</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4650</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4659</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4660</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4667</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4672</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4677</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4678</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4679</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4680</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4684</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4689</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4690</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4693</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4695</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4698</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4700</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4702</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4703</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4705</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4706</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4714</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4716</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4721</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4723</v>
      </c>
      <c r="F68" s="94"/>
      <c r="G68" s="94"/>
      <c r="H68" s="94"/>
      <c r="I68" s="94"/>
    </row>
    <row r="69" spans="1:22">
      <c r="A69" s="94"/>
      <c r="B69" s="94"/>
      <c r="C69" s="94"/>
      <c r="D69" s="18">
        <v>-67844</v>
      </c>
      <c r="E69" s="120" t="s">
        <v>4725</v>
      </c>
      <c r="F69" s="94"/>
      <c r="G69" s="94"/>
      <c r="H69" s="94"/>
      <c r="I69" s="94"/>
    </row>
    <row r="70" spans="1:22">
      <c r="D70" s="18">
        <v>-400000</v>
      </c>
      <c r="E70" s="120" t="s">
        <v>4729</v>
      </c>
      <c r="G70" t="s">
        <v>25</v>
      </c>
    </row>
    <row r="71" spans="1:22">
      <c r="D71" s="18">
        <v>463200</v>
      </c>
      <c r="E71" s="120" t="s">
        <v>4731</v>
      </c>
    </row>
    <row r="72" spans="1:22">
      <c r="D72" s="18">
        <v>2000000</v>
      </c>
      <c r="E72" s="94" t="s">
        <v>4734</v>
      </c>
    </row>
    <row r="73" spans="1:22">
      <c r="D73" s="18">
        <v>-280000</v>
      </c>
      <c r="E73" t="s">
        <v>4735</v>
      </c>
    </row>
    <row r="74" spans="1:22">
      <c r="D74" s="18">
        <v>-200000</v>
      </c>
      <c r="E74" s="94" t="s">
        <v>4742</v>
      </c>
    </row>
    <row r="75" spans="1:22">
      <c r="D75" s="18">
        <v>-2000000</v>
      </c>
      <c r="E75" s="94" t="s">
        <v>4748</v>
      </c>
    </row>
    <row r="76" spans="1:22">
      <c r="D76" s="18">
        <v>92800</v>
      </c>
      <c r="E76" s="94" t="s">
        <v>4750</v>
      </c>
    </row>
    <row r="77" spans="1:22">
      <c r="D77" s="18">
        <v>1417727</v>
      </c>
      <c r="E77" s="94" t="s">
        <v>4751</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workbookViewId="0">
      <selection activeCell="E28" sqref="E28"/>
    </sheetView>
  </sheetViews>
  <sheetFormatPr defaultRowHeight="15"/>
  <cols>
    <col min="1" max="1" width="29.42578125" customWidth="1"/>
    <col min="2" max="2" width="18.28515625" bestFit="1" customWidth="1"/>
    <col min="3" max="3" width="23.85546875" bestFit="1" customWidth="1"/>
    <col min="4" max="4" width="18.5703125" bestFit="1" customWidth="1"/>
    <col min="5" max="5" width="13.28515625" bestFit="1" customWidth="1"/>
    <col min="6" max="6" width="27.5703125" bestFit="1" customWidth="1"/>
    <col min="7" max="7" width="42.28515625" bestFit="1" customWidth="1"/>
    <col min="8" max="9" width="22.85546875" bestFit="1" customWidth="1"/>
    <col min="10" max="10" width="12" bestFit="1" customWidth="1"/>
    <col min="11" max="11" width="9" bestFit="1" customWidth="1"/>
    <col min="12" max="12" width="13.7109375" bestFit="1" customWidth="1"/>
    <col min="13" max="13" width="14.42578125" bestFit="1" customWidth="1"/>
    <col min="14" max="14" width="23" bestFit="1" customWidth="1"/>
  </cols>
  <sheetData>
    <row r="1" spans="1:5">
      <c r="A1" s="32"/>
      <c r="B1" s="32" t="s">
        <v>6929</v>
      </c>
      <c r="C1" s="32" t="s">
        <v>6930</v>
      </c>
      <c r="D1" s="32" t="s">
        <v>6931</v>
      </c>
      <c r="E1" s="455" t="s">
        <v>4245</v>
      </c>
    </row>
    <row r="2" spans="1:5">
      <c r="A2" s="32" t="s">
        <v>4824</v>
      </c>
      <c r="B2" s="325">
        <v>2037</v>
      </c>
      <c r="C2" s="325">
        <v>2000</v>
      </c>
      <c r="D2" s="325">
        <v>3000</v>
      </c>
      <c r="E2" s="325">
        <v>17628</v>
      </c>
    </row>
    <row r="3" spans="1:5">
      <c r="A3" s="32" t="s">
        <v>4829</v>
      </c>
      <c r="B3" s="325">
        <v>2100</v>
      </c>
      <c r="C3" s="325">
        <v>1350</v>
      </c>
      <c r="D3" s="325">
        <v>3600</v>
      </c>
      <c r="E3" s="325">
        <v>15845</v>
      </c>
    </row>
    <row r="4" spans="1:5">
      <c r="A4" s="32" t="s">
        <v>4830</v>
      </c>
      <c r="B4" s="325">
        <v>608.1</v>
      </c>
      <c r="C4" s="325">
        <v>122</v>
      </c>
      <c r="D4" s="325">
        <v>750</v>
      </c>
      <c r="E4" s="325">
        <v>6259</v>
      </c>
    </row>
    <row r="5" spans="1:5">
      <c r="A5" s="32" t="s">
        <v>5482</v>
      </c>
      <c r="B5" s="325">
        <v>352</v>
      </c>
      <c r="C5" s="325">
        <v>110</v>
      </c>
      <c r="D5" s="325">
        <v>650</v>
      </c>
      <c r="E5" s="325">
        <v>5250</v>
      </c>
    </row>
    <row r="6" spans="1:5">
      <c r="A6" s="32" t="s">
        <v>4358</v>
      </c>
      <c r="B6" s="325">
        <v>2412</v>
      </c>
      <c r="C6" s="325">
        <v>2300</v>
      </c>
      <c r="D6" s="325">
        <v>2400</v>
      </c>
      <c r="E6" s="325">
        <v>18395</v>
      </c>
    </row>
    <row r="7" spans="1:5">
      <c r="A7" s="32" t="s">
        <v>4831</v>
      </c>
      <c r="B7" s="325">
        <v>803</v>
      </c>
      <c r="C7" s="325">
        <v>590</v>
      </c>
      <c r="D7" s="325">
        <v>2000</v>
      </c>
      <c r="E7" s="325">
        <v>10840</v>
      </c>
    </row>
    <row r="8" spans="1:5">
      <c r="A8" s="32" t="s">
        <v>4371</v>
      </c>
      <c r="B8" s="325">
        <v>424</v>
      </c>
      <c r="C8" s="325">
        <v>370</v>
      </c>
      <c r="D8" s="325">
        <v>800</v>
      </c>
      <c r="E8" s="325"/>
    </row>
    <row r="9" spans="1:5">
      <c r="A9" s="32"/>
      <c r="B9" s="325"/>
      <c r="C9" s="325"/>
      <c r="D9" s="325"/>
      <c r="E9" s="325"/>
    </row>
    <row r="10" spans="1:5">
      <c r="A10" s="32"/>
      <c r="B10" s="325"/>
      <c r="C10" s="325"/>
      <c r="D10" s="325"/>
      <c r="E10" s="325"/>
    </row>
    <row r="11" spans="1:5">
      <c r="A11" s="32"/>
      <c r="B11" s="325"/>
      <c r="C11" s="325"/>
      <c r="D11" s="325"/>
      <c r="E11" s="325"/>
    </row>
    <row r="12" spans="1:5">
      <c r="A12" s="32"/>
      <c r="B12" s="325"/>
      <c r="C12" s="325"/>
      <c r="D12" s="325"/>
      <c r="E12" s="325"/>
    </row>
    <row r="13" spans="1:5">
      <c r="A13" s="32" t="s">
        <v>6368</v>
      </c>
      <c r="B13" s="325">
        <v>100</v>
      </c>
      <c r="C13" s="325">
        <v>82</v>
      </c>
      <c r="D13" s="325">
        <v>140</v>
      </c>
      <c r="E13" s="325">
        <v>776</v>
      </c>
    </row>
    <row r="14" spans="1:5">
      <c r="A14" s="32" t="s">
        <v>6370</v>
      </c>
      <c r="B14" s="325">
        <v>556</v>
      </c>
      <c r="C14" s="325">
        <v>417.5</v>
      </c>
      <c r="D14" s="325">
        <v>600</v>
      </c>
      <c r="E14" s="325">
        <v>3865</v>
      </c>
    </row>
    <row r="15" spans="1:5">
      <c r="A15" s="32" t="s">
        <v>6369</v>
      </c>
      <c r="B15" s="325">
        <v>2017</v>
      </c>
      <c r="C15" s="325">
        <v>1413</v>
      </c>
      <c r="D15" s="325">
        <v>2200</v>
      </c>
      <c r="E15" s="325">
        <v>12850</v>
      </c>
    </row>
    <row r="16" spans="1:5">
      <c r="A16" s="32"/>
      <c r="B16" s="325"/>
      <c r="C16" s="325"/>
      <c r="D16" s="325"/>
      <c r="E16" s="325"/>
    </row>
    <row r="17" spans="1:7">
      <c r="A17" s="32"/>
      <c r="B17" s="325"/>
      <c r="C17" s="325"/>
      <c r="D17" s="325"/>
      <c r="E17" s="325"/>
    </row>
    <row r="18" spans="1:7">
      <c r="A18" s="32" t="s">
        <v>5788</v>
      </c>
      <c r="B18" s="325">
        <v>173</v>
      </c>
      <c r="C18" s="325">
        <v>170</v>
      </c>
      <c r="D18" s="325">
        <v>400</v>
      </c>
      <c r="E18" s="325">
        <v>4695</v>
      </c>
    </row>
    <row r="19" spans="1:7">
      <c r="A19" s="32" t="s">
        <v>6263</v>
      </c>
      <c r="B19" s="325">
        <v>190</v>
      </c>
      <c r="C19" s="325">
        <v>130</v>
      </c>
      <c r="D19" s="325">
        <v>350</v>
      </c>
      <c r="E19" s="325"/>
    </row>
    <row r="20" spans="1:7">
      <c r="A20" s="32" t="s">
        <v>5787</v>
      </c>
      <c r="B20" s="325">
        <v>308</v>
      </c>
      <c r="C20" s="325">
        <v>213</v>
      </c>
      <c r="D20" s="325">
        <v>450</v>
      </c>
      <c r="E20" s="325"/>
    </row>
    <row r="21" spans="1:7">
      <c r="A21" s="32" t="s">
        <v>4509</v>
      </c>
      <c r="B21" s="325">
        <v>130</v>
      </c>
      <c r="C21" s="325">
        <v>28</v>
      </c>
      <c r="D21" s="325">
        <v>280</v>
      </c>
      <c r="E21" s="325"/>
    </row>
    <row r="22" spans="1:7">
      <c r="A22" s="32" t="s">
        <v>5794</v>
      </c>
      <c r="B22" s="325">
        <v>223</v>
      </c>
      <c r="C22" s="325">
        <v>80</v>
      </c>
      <c r="D22" s="325">
        <v>300</v>
      </c>
      <c r="E22" s="325"/>
    </row>
    <row r="23" spans="1:7">
      <c r="A23" s="32" t="s">
        <v>6933</v>
      </c>
      <c r="B23" s="325">
        <v>219</v>
      </c>
      <c r="C23" s="325">
        <v>95</v>
      </c>
      <c r="D23" s="325">
        <v>120</v>
      </c>
      <c r="E23" s="325">
        <v>795</v>
      </c>
    </row>
    <row r="24" spans="1:7">
      <c r="A24" s="32" t="s">
        <v>6940</v>
      </c>
      <c r="B24" s="325">
        <v>825</v>
      </c>
      <c r="C24" s="325">
        <v>750</v>
      </c>
      <c r="D24" s="325">
        <v>1000</v>
      </c>
      <c r="E24" s="325">
        <v>7250</v>
      </c>
    </row>
    <row r="25" spans="1:7">
      <c r="A25" s="97" t="s">
        <v>6214</v>
      </c>
      <c r="B25" s="325">
        <v>2959</v>
      </c>
      <c r="C25" s="325">
        <v>2400</v>
      </c>
      <c r="D25" s="325">
        <v>3500</v>
      </c>
      <c r="E25" s="325">
        <v>18000</v>
      </c>
      <c r="G25" t="s">
        <v>25</v>
      </c>
    </row>
    <row r="26" spans="1:7">
      <c r="A26" s="97" t="s">
        <v>6213</v>
      </c>
      <c r="B26" s="325">
        <v>125</v>
      </c>
      <c r="C26" s="325">
        <v>100</v>
      </c>
      <c r="D26" s="325">
        <v>220</v>
      </c>
      <c r="E26" s="325">
        <v>1100</v>
      </c>
    </row>
    <row r="27" spans="1:7">
      <c r="A27" s="32" t="s">
        <v>4216</v>
      </c>
      <c r="B27" s="325">
        <v>224</v>
      </c>
      <c r="C27" s="325">
        <v>193</v>
      </c>
      <c r="D27" s="325">
        <v>340</v>
      </c>
      <c r="E27" s="325">
        <v>1270</v>
      </c>
    </row>
    <row r="28" spans="1:7">
      <c r="A28" s="32" t="s">
        <v>4520</v>
      </c>
      <c r="B28" s="325">
        <v>50</v>
      </c>
      <c r="C28" s="325">
        <v>50</v>
      </c>
      <c r="D28" s="325">
        <v>140</v>
      </c>
      <c r="E28" s="325"/>
    </row>
    <row r="29" spans="1:7">
      <c r="A29" s="32" t="s">
        <v>5938</v>
      </c>
      <c r="B29" s="325">
        <v>578</v>
      </c>
      <c r="C29" s="325">
        <v>300</v>
      </c>
      <c r="D29" s="325">
        <v>800</v>
      </c>
      <c r="E29" s="325"/>
    </row>
    <row r="30" spans="1:7">
      <c r="A30" s="32"/>
      <c r="B30" s="325"/>
      <c r="C30" s="325"/>
      <c r="D30" s="325"/>
      <c r="E30" s="325"/>
    </row>
    <row r="31" spans="1:7">
      <c r="A31" s="32" t="s">
        <v>6265</v>
      </c>
      <c r="B31" s="325">
        <v>66</v>
      </c>
      <c r="C31" s="325">
        <v>6.6</v>
      </c>
      <c r="D31" s="325">
        <v>80</v>
      </c>
      <c r="E31" s="325"/>
      <c r="G31" t="s">
        <v>25</v>
      </c>
    </row>
    <row r="32" spans="1:7">
      <c r="A32" s="32" t="s">
        <v>6264</v>
      </c>
      <c r="B32" s="325">
        <v>58</v>
      </c>
      <c r="C32" s="325">
        <v>15</v>
      </c>
      <c r="D32" s="325">
        <v>60</v>
      </c>
      <c r="E32" s="325"/>
      <c r="G32" t="s">
        <v>25</v>
      </c>
    </row>
    <row r="33" spans="1:5">
      <c r="A33" s="32"/>
      <c r="B33" s="325"/>
      <c r="C33" s="325"/>
      <c r="D33" s="325"/>
      <c r="E33" s="325"/>
    </row>
    <row r="34" spans="1:5">
      <c r="A34" s="32" t="s">
        <v>6219</v>
      </c>
      <c r="B34" s="325">
        <v>110</v>
      </c>
      <c r="C34" s="325"/>
      <c r="D34" s="325"/>
      <c r="E34" s="325"/>
    </row>
    <row r="35" spans="1:5">
      <c r="A35" s="32" t="s">
        <v>6222</v>
      </c>
      <c r="B35" s="325">
        <v>30</v>
      </c>
      <c r="C35" s="325"/>
      <c r="D35" s="325"/>
      <c r="E35" s="325"/>
    </row>
    <row r="36" spans="1:5">
      <c r="A36" s="32" t="s">
        <v>6223</v>
      </c>
      <c r="B36" s="325">
        <v>100</v>
      </c>
      <c r="C36" s="325"/>
      <c r="D36" s="325"/>
      <c r="E36" s="325"/>
    </row>
    <row r="37" spans="1:5">
      <c r="A37" s="32" t="s">
        <v>6224</v>
      </c>
      <c r="B37" s="325">
        <v>180</v>
      </c>
      <c r="C37" s="325"/>
      <c r="D37" s="325"/>
      <c r="E37" s="325"/>
    </row>
    <row r="38" spans="1:5">
      <c r="A38" s="32" t="s">
        <v>6225</v>
      </c>
      <c r="B38" s="325">
        <v>100</v>
      </c>
      <c r="C38" s="325"/>
      <c r="D38" s="325"/>
      <c r="E38" s="325"/>
    </row>
    <row r="39" spans="1:5">
      <c r="A39" s="32" t="s">
        <v>6226</v>
      </c>
      <c r="B39" s="325">
        <v>347</v>
      </c>
      <c r="C39" s="325"/>
      <c r="D39" s="325"/>
      <c r="E39" s="325"/>
    </row>
    <row r="40" spans="1:5">
      <c r="A40" s="32" t="s">
        <v>6266</v>
      </c>
      <c r="B40" s="325">
        <v>219.8</v>
      </c>
      <c r="C40" s="325">
        <v>237</v>
      </c>
      <c r="D40" s="325">
        <v>280</v>
      </c>
      <c r="E40" s="325"/>
    </row>
    <row r="41" spans="1:5">
      <c r="A41" s="32"/>
      <c r="B41" s="325"/>
      <c r="C41" s="325"/>
      <c r="D41" s="325"/>
      <c r="E41" s="325"/>
    </row>
    <row r="42" spans="1:5">
      <c r="A42" s="32" t="s">
        <v>6228</v>
      </c>
      <c r="B42" s="325">
        <v>141</v>
      </c>
      <c r="C42" s="325">
        <v>125</v>
      </c>
      <c r="D42" s="325">
        <v>160</v>
      </c>
      <c r="E42" s="325">
        <v>1244</v>
      </c>
    </row>
    <row r="43" spans="1:5">
      <c r="A43" s="32"/>
      <c r="B43" s="325"/>
      <c r="C43" s="325"/>
      <c r="D43" s="325"/>
      <c r="E43" s="325"/>
    </row>
    <row r="44" spans="1:5">
      <c r="A44" s="32" t="s">
        <v>6229</v>
      </c>
      <c r="B44" s="325">
        <v>80000000000</v>
      </c>
      <c r="C44" s="325">
        <v>70000000000</v>
      </c>
      <c r="D44" s="325">
        <v>100000000000</v>
      </c>
      <c r="E44" s="325"/>
    </row>
    <row r="45" spans="1:5">
      <c r="A45" s="32"/>
      <c r="B45" s="325"/>
      <c r="C45" s="325"/>
      <c r="D45" s="325"/>
      <c r="E45" s="325"/>
    </row>
    <row r="46" spans="1:5">
      <c r="A46" s="32"/>
      <c r="B46" s="325"/>
      <c r="C46" s="325"/>
      <c r="D46" s="325"/>
      <c r="E46" s="325"/>
    </row>
    <row r="47" spans="1:5">
      <c r="A47" s="32"/>
      <c r="B47" s="325"/>
      <c r="C47" s="325"/>
      <c r="D47" s="325"/>
      <c r="E47" s="325"/>
    </row>
    <row r="48" spans="1:5">
      <c r="A48" s="32"/>
      <c r="B48" s="325"/>
      <c r="C48" s="325"/>
      <c r="D48" s="325"/>
      <c r="E48" s="325"/>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7" sqref="B7"/>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1795</v>
      </c>
      <c r="C5" s="97"/>
      <c r="D5" s="97"/>
      <c r="F5" s="130">
        <v>0.2</v>
      </c>
      <c r="G5" s="130">
        <v>0.46</v>
      </c>
      <c r="I5" s="97"/>
      <c r="J5" s="97"/>
      <c r="L5" s="97" t="s">
        <v>3687</v>
      </c>
      <c r="M5" s="97">
        <v>6150</v>
      </c>
      <c r="U5" s="94"/>
      <c r="V5" s="94"/>
      <c r="W5" s="94"/>
      <c r="X5" s="94"/>
      <c r="Y5" s="94"/>
      <c r="Z5" s="94"/>
    </row>
    <row r="6" spans="1:35" ht="20.25" customHeight="1">
      <c r="A6" s="97" t="s">
        <v>1098</v>
      </c>
      <c r="B6" s="97">
        <v>28800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12172177.209003214</v>
      </c>
      <c r="C8" s="97">
        <f>B2*B4*B5/(B1*B3)+B7/B6</f>
        <v>422.64504197927823</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-432177.20900321379</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2" t="s">
        <v>4901</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4943</v>
      </c>
      <c r="X20" s="41">
        <v>9194342556</v>
      </c>
      <c r="Y20" s="41">
        <v>200</v>
      </c>
      <c r="Z20" s="41" t="s">
        <v>4483</v>
      </c>
      <c r="AA20" t="s">
        <v>4925</v>
      </c>
      <c r="AB20" s="94"/>
      <c r="AC20" s="94"/>
      <c r="AD20" s="94"/>
      <c r="AE20" s="94"/>
      <c r="AF20" s="94"/>
      <c r="AG20" s="94"/>
      <c r="AH20" s="94"/>
      <c r="AI20" s="94"/>
    </row>
    <row r="21" spans="5:35">
      <c r="O21" s="97"/>
      <c r="P21" s="97"/>
      <c r="Q21" s="461" t="s">
        <v>1071</v>
      </c>
      <c r="R21" s="461"/>
      <c r="S21" s="461"/>
      <c r="T21" s="461"/>
      <c r="U21" s="94"/>
      <c r="V21" s="94"/>
      <c r="W21" s="41" t="s">
        <v>4942</v>
      </c>
      <c r="X21" s="41">
        <v>9035210431</v>
      </c>
      <c r="Y21" s="41">
        <v>50</v>
      </c>
      <c r="Z21" s="41" t="s">
        <v>5204</v>
      </c>
      <c r="AA21" t="s">
        <v>4960</v>
      </c>
    </row>
    <row r="22" spans="5:35">
      <c r="O22" s="97"/>
      <c r="P22" s="97"/>
      <c r="Q22" s="461"/>
      <c r="R22" s="461"/>
      <c r="S22" s="461"/>
      <c r="T22" s="461"/>
      <c r="U22" s="94"/>
      <c r="V22" s="94"/>
      <c r="W22" s="41" t="s">
        <v>5029</v>
      </c>
      <c r="X22" s="41">
        <v>9909620343</v>
      </c>
      <c r="Y22" s="41">
        <v>200</v>
      </c>
      <c r="Z22" s="41" t="s">
        <v>5205</v>
      </c>
      <c r="AA22" t="s">
        <v>5208</v>
      </c>
      <c r="AB22" s="41" t="s">
        <v>5216</v>
      </c>
    </row>
    <row r="23" spans="5:35" ht="15.75">
      <c r="O23" s="176"/>
      <c r="P23" s="97" t="s">
        <v>4067</v>
      </c>
      <c r="Q23" s="462" t="s">
        <v>1072</v>
      </c>
      <c r="R23" s="463" t="s">
        <v>1073</v>
      </c>
      <c r="S23" s="462" t="s">
        <v>1074</v>
      </c>
      <c r="T23" s="464" t="s">
        <v>1075</v>
      </c>
      <c r="W23" s="41" t="s">
        <v>5030</v>
      </c>
      <c r="X23" s="41">
        <v>9378807702</v>
      </c>
      <c r="Y23" s="41">
        <v>0</v>
      </c>
      <c r="Z23" s="41">
        <v>0</v>
      </c>
      <c r="AD23" t="s">
        <v>25</v>
      </c>
    </row>
    <row r="24" spans="5:35">
      <c r="O24" s="97"/>
      <c r="P24" s="97"/>
      <c r="Q24" s="462"/>
      <c r="R24" s="463"/>
      <c r="S24" s="462"/>
      <c r="T24" s="464"/>
      <c r="W24" s="41" t="s">
        <v>5051</v>
      </c>
      <c r="X24" s="41"/>
      <c r="Y24" s="41">
        <v>200</v>
      </c>
      <c r="Z24" s="41" t="s">
        <v>4483</v>
      </c>
      <c r="AA24" t="s">
        <v>5063</v>
      </c>
      <c r="AB24" t="s">
        <v>5111</v>
      </c>
    </row>
    <row r="25" spans="5:35">
      <c r="O25" s="171" t="s">
        <v>4122</v>
      </c>
      <c r="P25" s="171">
        <v>2182188507</v>
      </c>
      <c r="Q25" s="172" t="s">
        <v>1076</v>
      </c>
      <c r="R25" s="172" t="s">
        <v>4068</v>
      </c>
      <c r="S25" s="172" t="s">
        <v>4073</v>
      </c>
      <c r="T25" s="172" t="s">
        <v>1077</v>
      </c>
      <c r="W25" s="41" t="s">
        <v>5068</v>
      </c>
      <c r="X25" s="41">
        <v>9013075723</v>
      </c>
      <c r="Y25" s="41">
        <v>100</v>
      </c>
      <c r="Z25" s="41" t="s">
        <v>5204</v>
      </c>
      <c r="AA25" t="s">
        <v>5132</v>
      </c>
    </row>
    <row r="26" spans="5:35">
      <c r="O26" s="171"/>
      <c r="P26" s="171">
        <v>2123095122</v>
      </c>
      <c r="Q26" s="173" t="s">
        <v>1078</v>
      </c>
      <c r="R26" s="173" t="s">
        <v>1079</v>
      </c>
      <c r="S26" s="173" t="s">
        <v>1080</v>
      </c>
      <c r="T26" s="173" t="s">
        <v>1081</v>
      </c>
      <c r="U26" s="94"/>
      <c r="V26" s="94"/>
      <c r="W26" s="41" t="s">
        <v>5206</v>
      </c>
      <c r="X26" s="41">
        <v>9214923916</v>
      </c>
      <c r="Y26" s="41">
        <v>100</v>
      </c>
      <c r="Z26" s="41" t="s">
        <v>4483</v>
      </c>
      <c r="AA26" s="202" t="s">
        <v>5200</v>
      </c>
      <c r="AB26" s="94"/>
    </row>
    <row r="27" spans="5:35" ht="30">
      <c r="O27" s="171" t="s">
        <v>4176</v>
      </c>
      <c r="P27" s="171">
        <v>2188831909</v>
      </c>
      <c r="Q27" s="97" t="s">
        <v>4070</v>
      </c>
      <c r="R27" s="97" t="s">
        <v>4071</v>
      </c>
      <c r="S27" s="97" t="s">
        <v>4072</v>
      </c>
      <c r="T27" s="174" t="s">
        <v>4074</v>
      </c>
      <c r="U27" s="94"/>
      <c r="V27" s="94"/>
      <c r="W27" s="41" t="s">
        <v>5207</v>
      </c>
      <c r="X27" s="41" t="s">
        <v>5255</v>
      </c>
      <c r="Y27" s="41">
        <v>80</v>
      </c>
      <c r="Z27" s="41" t="s">
        <v>5204</v>
      </c>
      <c r="AA27" s="202" t="s">
        <v>5200</v>
      </c>
      <c r="AB27" s="94"/>
    </row>
    <row r="28" spans="5:35" ht="60">
      <c r="E28" t="s">
        <v>25</v>
      </c>
      <c r="T28" s="22" t="s">
        <v>4061</v>
      </c>
      <c r="U28" s="94"/>
      <c r="V28" s="94"/>
      <c r="W28" s="41" t="s">
        <v>5533</v>
      </c>
      <c r="X28" s="41">
        <v>9373349244</v>
      </c>
      <c r="Y28" s="41">
        <v>300</v>
      </c>
      <c r="Z28" s="41" t="s">
        <v>5534</v>
      </c>
      <c r="AA28" s="94" t="s">
        <v>5528</v>
      </c>
      <c r="AB28" s="41" t="s">
        <v>5599</v>
      </c>
    </row>
    <row r="29" spans="5:35">
      <c r="R29" s="94"/>
      <c r="S29" s="94"/>
      <c r="T29" s="94"/>
      <c r="U29" s="94"/>
      <c r="V29" s="94"/>
      <c r="W29" s="41" t="s">
        <v>5560</v>
      </c>
      <c r="X29" s="41">
        <v>9332154549</v>
      </c>
      <c r="Y29" s="41">
        <v>260</v>
      </c>
      <c r="Z29" s="41" t="s">
        <v>5534</v>
      </c>
      <c r="AA29" s="94" t="s">
        <v>5559</v>
      </c>
      <c r="AB29" s="41" t="s">
        <v>5773</v>
      </c>
    </row>
    <row r="30" spans="5:35">
      <c r="R30" s="94"/>
      <c r="S30" s="94"/>
      <c r="T30" s="94"/>
      <c r="U30" s="94"/>
      <c r="V30" s="94"/>
      <c r="W30" s="41" t="s">
        <v>5772</v>
      </c>
      <c r="X30" s="41">
        <v>9944625742</v>
      </c>
      <c r="Y30" s="41">
        <v>120</v>
      </c>
      <c r="Z30" s="41" t="s">
        <v>4483</v>
      </c>
      <c r="AA30" s="94" t="s">
        <v>5760</v>
      </c>
      <c r="AB30" s="94"/>
    </row>
    <row r="31" spans="5:35">
      <c r="R31" s="94"/>
      <c r="S31" s="94"/>
      <c r="T31" s="94"/>
      <c r="U31" s="94"/>
      <c r="V31" s="94"/>
      <c r="W31" s="312" t="s">
        <v>6365</v>
      </c>
      <c r="X31" s="312">
        <v>9199190185</v>
      </c>
      <c r="Y31" s="312">
        <v>195</v>
      </c>
      <c r="Z31" s="312" t="s">
        <v>5204</v>
      </c>
      <c r="AA31" s="94" t="s">
        <v>6206</v>
      </c>
      <c r="AB31" s="94"/>
    </row>
    <row r="32" spans="5:35">
      <c r="R32" s="94"/>
      <c r="S32" s="94"/>
      <c r="T32" s="94"/>
      <c r="U32" s="94"/>
      <c r="V32" s="94"/>
      <c r="W32" s="312" t="s">
        <v>6750</v>
      </c>
      <c r="X32" s="94"/>
      <c r="Y32" s="94"/>
      <c r="Z32" s="312" t="s">
        <v>5204</v>
      </c>
      <c r="AA32" s="94" t="s">
        <v>6751</v>
      </c>
      <c r="AB32" s="94"/>
    </row>
    <row r="33" spans="18:28">
      <c r="R33" s="94"/>
      <c r="S33" s="94"/>
      <c r="T33" s="94"/>
      <c r="U33" s="94"/>
      <c r="V33" s="94"/>
      <c r="W33" s="312" t="s">
        <v>6752</v>
      </c>
      <c r="X33" s="312">
        <v>9304634309</v>
      </c>
      <c r="Y33" s="312">
        <v>150</v>
      </c>
      <c r="Z33" s="312" t="s">
        <v>6753</v>
      </c>
      <c r="AA33" s="94" t="s">
        <v>6749</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4682</v>
      </c>
      <c r="B5" t="s">
        <v>4696</v>
      </c>
    </row>
    <row r="6" spans="1:3">
      <c r="A6" t="s">
        <v>4692</v>
      </c>
      <c r="B6" t="s">
        <v>4697</v>
      </c>
    </row>
    <row r="8" spans="1:3" ht="9.75" customHeight="1"/>
    <row r="9" spans="1:3" hidden="1"/>
  </sheetData>
  <pageMargins left="0.7" right="0.7" top="0.75" bottom="0.75" header="0.3" footer="0.3"/>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5" t="s">
        <v>5845</v>
      </c>
      <c r="B1" s="205" t="s">
        <v>4419</v>
      </c>
      <c r="C1" s="205" t="s">
        <v>6179</v>
      </c>
      <c r="D1" s="205" t="s">
        <v>5844</v>
      </c>
      <c r="E1" s="205" t="s">
        <v>4823</v>
      </c>
      <c r="F1" s="205" t="s">
        <v>5846</v>
      </c>
      <c r="G1" s="205" t="s">
        <v>5847</v>
      </c>
      <c r="H1" s="205"/>
      <c r="I1" s="205"/>
      <c r="J1" s="205"/>
      <c r="K1" s="205"/>
      <c r="L1" s="205" t="s">
        <v>6180</v>
      </c>
      <c r="M1" s="205">
        <v>10000000000</v>
      </c>
      <c r="N1" s="205"/>
      <c r="O1" s="205"/>
      <c r="P1" s="205"/>
      <c r="Q1" s="205"/>
      <c r="R1" s="205"/>
      <c r="S1" s="205"/>
      <c r="T1" s="205"/>
      <c r="U1" s="205"/>
      <c r="V1" s="205"/>
      <c r="W1" s="205"/>
      <c r="X1" s="205"/>
      <c r="Y1" s="205"/>
      <c r="Z1" s="205"/>
      <c r="AA1" s="205"/>
      <c r="AB1" s="205"/>
      <c r="AC1" s="205"/>
    </row>
    <row r="2" spans="1:29">
      <c r="A2" s="205" t="s">
        <v>5860</v>
      </c>
      <c r="B2" s="205">
        <v>52293239</v>
      </c>
      <c r="C2" s="205">
        <f t="shared" ref="C2:C33" si="0">D2+E2</f>
        <v>2605542578</v>
      </c>
      <c r="D2" s="205" t="s">
        <v>5861</v>
      </c>
      <c r="E2" s="205" t="s">
        <v>5862</v>
      </c>
      <c r="F2" s="205" t="s">
        <v>5863</v>
      </c>
      <c r="G2" s="205" t="s">
        <v>5864</v>
      </c>
      <c r="H2" s="205">
        <v>110</v>
      </c>
      <c r="I2" s="93">
        <f>C2*H2</f>
        <v>286609683580</v>
      </c>
      <c r="J2" s="205">
        <f>I2/$M$1</f>
        <v>28.660968358000002</v>
      </c>
      <c r="L2" s="205"/>
      <c r="M2" s="205"/>
      <c r="N2" s="205"/>
      <c r="O2" s="205"/>
      <c r="P2" s="205"/>
      <c r="Q2" s="205"/>
      <c r="R2" s="205"/>
      <c r="S2" s="205"/>
      <c r="T2" s="205"/>
      <c r="U2" s="205"/>
      <c r="V2" s="205"/>
      <c r="W2" s="205"/>
      <c r="X2" s="205"/>
      <c r="Y2" s="205"/>
      <c r="Z2" s="205"/>
      <c r="AA2" s="205"/>
      <c r="AB2" s="205"/>
      <c r="AC2" s="205"/>
    </row>
    <row r="3" spans="1:29">
      <c r="A3" s="205" t="s">
        <v>5849</v>
      </c>
      <c r="B3" s="292">
        <v>39356047</v>
      </c>
      <c r="C3" s="205">
        <f t="shared" si="0"/>
        <v>3355161798</v>
      </c>
      <c r="D3" s="205" t="s">
        <v>5850</v>
      </c>
      <c r="E3" s="205" t="s">
        <v>5851</v>
      </c>
      <c r="F3" s="205" t="s">
        <v>5853</v>
      </c>
      <c r="G3" s="205" t="s">
        <v>5854</v>
      </c>
      <c r="H3" s="93">
        <v>170</v>
      </c>
      <c r="I3" s="93">
        <f>C3*H3</f>
        <v>570377505660</v>
      </c>
      <c r="J3" s="205">
        <f>I3/$M$1</f>
        <v>57.037750566</v>
      </c>
      <c r="K3" s="205"/>
      <c r="L3" s="205"/>
      <c r="M3" s="205"/>
      <c r="N3" s="205"/>
      <c r="O3" s="205"/>
      <c r="P3" s="205"/>
      <c r="Q3" s="205"/>
      <c r="R3" s="205"/>
      <c r="S3" s="205"/>
      <c r="T3" s="205"/>
      <c r="U3" s="205"/>
      <c r="V3" s="205"/>
      <c r="W3" s="205"/>
      <c r="X3" s="205"/>
      <c r="Y3" s="205"/>
      <c r="Z3" s="205"/>
      <c r="AA3" s="205"/>
      <c r="AB3" s="205"/>
      <c r="AC3" s="205"/>
    </row>
    <row r="4" spans="1:29">
      <c r="A4" s="179" t="s">
        <v>5884</v>
      </c>
      <c r="B4" s="292">
        <v>27272507</v>
      </c>
      <c r="C4" s="205">
        <f t="shared" si="0"/>
        <v>2003857980</v>
      </c>
      <c r="D4" s="205" t="s">
        <v>5861</v>
      </c>
      <c r="E4" s="179" t="s">
        <v>5885</v>
      </c>
      <c r="F4" s="205" t="s">
        <v>5886</v>
      </c>
      <c r="G4" s="205" t="s">
        <v>5887</v>
      </c>
      <c r="H4" s="205">
        <v>120</v>
      </c>
      <c r="I4" s="93">
        <f t="shared" ref="I4:I18" si="1">C4*H4</f>
        <v>240462957600</v>
      </c>
      <c r="J4" s="205">
        <f t="shared" ref="J4:J33" si="2">I4/$M$1</f>
        <v>24.04629576</v>
      </c>
      <c r="K4" s="205"/>
      <c r="L4" s="205"/>
      <c r="M4" s="205"/>
      <c r="N4" s="205"/>
      <c r="O4" s="205"/>
      <c r="P4" s="205"/>
      <c r="Q4" s="205"/>
      <c r="R4" s="205"/>
      <c r="S4" s="205"/>
      <c r="T4" s="205"/>
      <c r="U4" s="205"/>
      <c r="V4" s="205"/>
      <c r="W4" s="205"/>
      <c r="X4" s="205"/>
      <c r="Y4" s="205"/>
      <c r="Z4" s="205"/>
      <c r="AA4" s="205"/>
      <c r="AB4" s="205"/>
      <c r="AC4" s="205"/>
    </row>
    <row r="5" spans="1:29">
      <c r="A5" s="205" t="s">
        <v>5888</v>
      </c>
      <c r="B5" s="292">
        <v>17936330</v>
      </c>
      <c r="C5" s="205">
        <f t="shared" si="0"/>
        <v>4161561525</v>
      </c>
      <c r="D5" s="205" t="s">
        <v>5861</v>
      </c>
      <c r="E5" s="205" t="s">
        <v>5889</v>
      </c>
      <c r="F5" s="205" t="s">
        <v>5890</v>
      </c>
      <c r="G5" s="205" t="s">
        <v>5891</v>
      </c>
      <c r="H5" s="205">
        <v>20</v>
      </c>
      <c r="I5" s="93">
        <f t="shared" si="1"/>
        <v>83231230500</v>
      </c>
      <c r="J5" s="205">
        <f t="shared" si="2"/>
        <v>8.3231230499999995</v>
      </c>
      <c r="K5" s="205"/>
      <c r="L5" s="205"/>
      <c r="M5" s="205"/>
      <c r="N5" s="205"/>
      <c r="O5" s="205"/>
      <c r="P5" s="205"/>
      <c r="Q5" s="205"/>
      <c r="R5" s="205"/>
      <c r="S5" s="205"/>
      <c r="T5" s="205"/>
      <c r="U5" s="205"/>
      <c r="V5" s="205"/>
      <c r="W5" s="205"/>
      <c r="X5" s="205"/>
      <c r="Y5" s="205"/>
      <c r="Z5" s="205"/>
      <c r="AA5" s="205"/>
      <c r="AB5" s="205"/>
      <c r="AC5" s="205"/>
    </row>
    <row r="6" spans="1:29">
      <c r="A6" s="205" t="s">
        <v>5870</v>
      </c>
      <c r="B6" s="292">
        <v>15219631</v>
      </c>
      <c r="C6" s="205">
        <f t="shared" si="0"/>
        <v>1037466348</v>
      </c>
      <c r="D6" s="205" t="s">
        <v>5871</v>
      </c>
      <c r="E6" s="205" t="s">
        <v>5872</v>
      </c>
      <c r="F6" s="179" t="s">
        <v>5873</v>
      </c>
      <c r="G6" s="205" t="s">
        <v>5874</v>
      </c>
      <c r="H6" s="205">
        <v>160</v>
      </c>
      <c r="I6" s="93">
        <f t="shared" si="1"/>
        <v>165994615680</v>
      </c>
      <c r="J6" s="205">
        <f t="shared" si="2"/>
        <v>16.599461567999999</v>
      </c>
      <c r="K6" s="205"/>
      <c r="L6" s="205"/>
      <c r="M6" s="205" t="s">
        <v>25</v>
      </c>
      <c r="N6" s="205"/>
      <c r="O6" s="205"/>
      <c r="P6" s="205"/>
      <c r="Q6" s="205"/>
      <c r="R6" s="205"/>
      <c r="S6" s="205"/>
      <c r="T6" s="205"/>
      <c r="U6" s="205"/>
      <c r="V6" s="205"/>
      <c r="W6" s="205"/>
      <c r="X6" s="205"/>
      <c r="Y6" s="205"/>
      <c r="Z6" s="205"/>
      <c r="AA6" s="205"/>
      <c r="AB6" s="205"/>
      <c r="AC6" s="205"/>
    </row>
    <row r="7" spans="1:29">
      <c r="A7" s="205" t="s">
        <v>5916</v>
      </c>
      <c r="B7" s="292">
        <v>12077909</v>
      </c>
      <c r="C7" s="205">
        <f t="shared" si="0"/>
        <v>499499998</v>
      </c>
      <c r="D7" s="205" t="s">
        <v>5861</v>
      </c>
      <c r="E7" s="205" t="s">
        <v>5917</v>
      </c>
      <c r="F7" s="205" t="s">
        <v>5918</v>
      </c>
      <c r="G7" s="205" t="s">
        <v>5919</v>
      </c>
      <c r="H7" s="205">
        <v>180</v>
      </c>
      <c r="I7" s="93">
        <f t="shared" si="1"/>
        <v>89909999640</v>
      </c>
      <c r="J7" s="205">
        <f t="shared" si="2"/>
        <v>8.9909999640000002</v>
      </c>
      <c r="K7" s="205"/>
      <c r="L7" s="205"/>
      <c r="M7" s="205"/>
      <c r="N7" s="205"/>
      <c r="O7" s="205"/>
      <c r="P7" s="205"/>
      <c r="Q7" s="205"/>
      <c r="R7" s="205"/>
      <c r="S7" s="205"/>
      <c r="T7" s="205"/>
      <c r="U7" s="205"/>
      <c r="V7" s="205"/>
      <c r="W7" s="205"/>
      <c r="X7" s="205"/>
      <c r="Y7" s="205"/>
      <c r="Z7" s="205"/>
      <c r="AA7" s="205"/>
      <c r="AB7" s="205"/>
      <c r="AC7" s="205"/>
    </row>
    <row r="8" spans="1:29">
      <c r="A8" s="205" t="s">
        <v>5948</v>
      </c>
      <c r="B8" s="292">
        <v>11039958</v>
      </c>
      <c r="C8" s="205">
        <f t="shared" si="0"/>
        <v>2802020000</v>
      </c>
      <c r="D8" s="205" t="s">
        <v>5861</v>
      </c>
      <c r="E8" s="205" t="s">
        <v>5949</v>
      </c>
      <c r="F8" s="205" t="s">
        <v>5950</v>
      </c>
      <c r="G8" s="205" t="s">
        <v>5951</v>
      </c>
      <c r="H8" s="205">
        <v>40</v>
      </c>
      <c r="I8" s="93">
        <f t="shared" si="1"/>
        <v>112080800000</v>
      </c>
      <c r="J8" s="205">
        <f t="shared" si="2"/>
        <v>11.208080000000001</v>
      </c>
      <c r="K8" s="205"/>
      <c r="L8" s="205"/>
      <c r="M8" s="205"/>
      <c r="N8" s="205"/>
      <c r="O8" s="205"/>
      <c r="P8" s="205"/>
      <c r="Q8" s="205"/>
      <c r="R8" s="205"/>
      <c r="S8" s="205"/>
      <c r="T8" s="205"/>
      <c r="U8" s="205"/>
      <c r="V8" s="205"/>
      <c r="W8" s="205"/>
      <c r="X8" s="205"/>
      <c r="Y8" s="205"/>
      <c r="Z8" s="205"/>
      <c r="AA8" s="205"/>
      <c r="AB8" s="205"/>
      <c r="AC8" s="205"/>
    </row>
    <row r="9" spans="1:29">
      <c r="A9" s="205" t="s">
        <v>5907</v>
      </c>
      <c r="B9" s="292">
        <v>6743250</v>
      </c>
      <c r="C9" s="205">
        <f t="shared" si="0"/>
        <v>337500000</v>
      </c>
      <c r="D9" s="205" t="s">
        <v>5861</v>
      </c>
      <c r="E9" s="205" t="s">
        <v>5908</v>
      </c>
      <c r="F9" s="205" t="s">
        <v>5909</v>
      </c>
      <c r="G9" s="205" t="s">
        <v>5910</v>
      </c>
      <c r="H9" s="205">
        <v>100</v>
      </c>
      <c r="I9" s="93">
        <f t="shared" si="1"/>
        <v>33750000000</v>
      </c>
      <c r="J9" s="205">
        <f t="shared" si="2"/>
        <v>3.375</v>
      </c>
      <c r="K9" s="205"/>
      <c r="L9" s="205"/>
      <c r="M9" s="205"/>
      <c r="N9" s="205"/>
      <c r="O9" s="205"/>
      <c r="P9" s="205"/>
      <c r="Q9" s="205"/>
      <c r="R9" s="205"/>
      <c r="S9" s="205"/>
      <c r="T9" s="205"/>
      <c r="U9" s="205"/>
      <c r="V9" s="205"/>
      <c r="W9" s="205"/>
      <c r="X9" s="205"/>
      <c r="Y9" s="205"/>
      <c r="Z9" s="205"/>
      <c r="AA9" s="205"/>
      <c r="AB9" s="205"/>
      <c r="AC9" s="205"/>
    </row>
    <row r="10" spans="1:29">
      <c r="A10" s="205" t="s">
        <v>5939</v>
      </c>
      <c r="B10" s="292">
        <v>6591899</v>
      </c>
      <c r="C10" s="205">
        <f t="shared" si="0"/>
        <v>978026662</v>
      </c>
      <c r="D10" s="205" t="s">
        <v>5861</v>
      </c>
      <c r="E10" s="205" t="s">
        <v>5940</v>
      </c>
      <c r="F10" s="205" t="s">
        <v>5941</v>
      </c>
      <c r="G10" s="205" t="s">
        <v>5942</v>
      </c>
      <c r="H10" s="205">
        <v>60</v>
      </c>
      <c r="I10" s="93">
        <f t="shared" si="1"/>
        <v>58681599720</v>
      </c>
      <c r="J10" s="205">
        <f t="shared" si="2"/>
        <v>5.8681599719999999</v>
      </c>
      <c r="K10" s="205"/>
      <c r="L10" s="205"/>
      <c r="M10" s="205"/>
      <c r="N10" s="205"/>
      <c r="O10" s="205"/>
      <c r="P10" s="205"/>
      <c r="Q10" s="205"/>
      <c r="R10" s="205"/>
      <c r="S10" s="205"/>
      <c r="T10" s="205"/>
      <c r="U10" s="205"/>
      <c r="V10" s="205"/>
      <c r="W10" s="205"/>
      <c r="X10" s="205"/>
      <c r="Y10" s="205"/>
      <c r="Z10" s="205"/>
      <c r="AA10" s="205"/>
      <c r="AB10" s="205"/>
      <c r="AC10" s="205"/>
    </row>
    <row r="11" spans="1:29">
      <c r="A11" s="205" t="s">
        <v>5855</v>
      </c>
      <c r="B11" s="292">
        <v>6515494</v>
      </c>
      <c r="C11" s="205">
        <f t="shared" si="0"/>
        <v>137024073</v>
      </c>
      <c r="D11" s="205" t="s">
        <v>5856</v>
      </c>
      <c r="E11" s="205" t="s">
        <v>5857</v>
      </c>
      <c r="F11" s="205" t="s">
        <v>5858</v>
      </c>
      <c r="G11" s="205" t="s">
        <v>5859</v>
      </c>
      <c r="H11" s="205">
        <v>200</v>
      </c>
      <c r="I11" s="93">
        <f t="shared" si="1"/>
        <v>27404814600</v>
      </c>
      <c r="J11" s="205">
        <f t="shared" si="2"/>
        <v>2.7404814599999998</v>
      </c>
      <c r="K11" s="205"/>
      <c r="M11" s="205"/>
      <c r="N11" s="205"/>
      <c r="O11" s="205"/>
      <c r="P11" s="205"/>
      <c r="Q11" s="205"/>
      <c r="R11" s="205"/>
      <c r="S11" s="205"/>
      <c r="T11" s="205"/>
      <c r="U11" s="205"/>
      <c r="V11" s="205"/>
      <c r="W11" s="205"/>
      <c r="X11" s="205"/>
      <c r="Y11" s="205"/>
      <c r="Z11" s="205"/>
      <c r="AA11" s="205"/>
      <c r="AB11" s="205"/>
      <c r="AC11" s="205"/>
    </row>
    <row r="12" spans="1:29">
      <c r="A12" s="205" t="s">
        <v>5865</v>
      </c>
      <c r="B12" s="292">
        <v>5962560</v>
      </c>
      <c r="C12" s="205">
        <f t="shared" si="0"/>
        <v>1242200000</v>
      </c>
      <c r="D12" s="205" t="s">
        <v>5866</v>
      </c>
      <c r="E12" s="205" t="s">
        <v>5867</v>
      </c>
      <c r="F12" s="205" t="s">
        <v>5868</v>
      </c>
      <c r="G12" s="205" t="s">
        <v>5869</v>
      </c>
      <c r="H12" s="205">
        <v>10</v>
      </c>
      <c r="I12" s="93">
        <f t="shared" si="1"/>
        <v>12422000000</v>
      </c>
      <c r="J12" s="205">
        <f t="shared" si="2"/>
        <v>1.2422</v>
      </c>
      <c r="K12" s="205"/>
      <c r="L12" s="205"/>
      <c r="M12" s="205"/>
      <c r="N12" s="205"/>
      <c r="O12" s="205"/>
      <c r="P12" s="205"/>
      <c r="Q12" s="205"/>
      <c r="R12" s="205"/>
      <c r="S12" s="205"/>
      <c r="T12" s="205"/>
      <c r="U12" s="205"/>
      <c r="V12" s="205"/>
      <c r="W12" s="205"/>
      <c r="X12" s="205"/>
      <c r="Y12" s="205"/>
      <c r="Z12" s="205"/>
      <c r="AA12" s="205"/>
      <c r="AB12" s="205"/>
      <c r="AC12" s="205"/>
    </row>
    <row r="13" spans="1:29">
      <c r="A13" s="205" t="s">
        <v>5982</v>
      </c>
      <c r="B13" s="292">
        <v>4690527</v>
      </c>
      <c r="C13" s="205">
        <f t="shared" si="0"/>
        <v>623740333</v>
      </c>
      <c r="D13" s="205" t="s">
        <v>5861</v>
      </c>
      <c r="E13" s="205" t="s">
        <v>5983</v>
      </c>
      <c r="F13" s="205" t="s">
        <v>5984</v>
      </c>
      <c r="G13" s="205" t="s">
        <v>5985</v>
      </c>
      <c r="H13" s="205">
        <v>50</v>
      </c>
      <c r="I13" s="93">
        <f t="shared" si="1"/>
        <v>31187016650</v>
      </c>
      <c r="J13" s="205">
        <f t="shared" si="2"/>
        <v>3.1187016650000001</v>
      </c>
      <c r="K13" s="205"/>
      <c r="L13" s="205"/>
      <c r="M13" s="205"/>
      <c r="N13" s="205"/>
      <c r="O13" s="205"/>
      <c r="P13" s="205"/>
      <c r="Q13" s="205"/>
      <c r="R13" s="205"/>
      <c r="S13" s="205"/>
      <c r="T13" s="205"/>
      <c r="U13" s="205"/>
      <c r="V13" s="205"/>
      <c r="W13" s="205"/>
      <c r="X13" s="205"/>
      <c r="Y13" s="205"/>
      <c r="Z13" s="205"/>
      <c r="AA13" s="205"/>
      <c r="AB13" s="205"/>
      <c r="AC13" s="205"/>
    </row>
    <row r="14" spans="1:29">
      <c r="A14" s="205" t="s">
        <v>5978</v>
      </c>
      <c r="B14" s="292">
        <v>4423541</v>
      </c>
      <c r="C14" s="205">
        <f t="shared" si="0"/>
        <v>118276522</v>
      </c>
      <c r="D14" s="205" t="s">
        <v>5861</v>
      </c>
      <c r="E14" s="205" t="s">
        <v>5979</v>
      </c>
      <c r="F14" s="205" t="s">
        <v>5980</v>
      </c>
      <c r="G14" s="205" t="s">
        <v>5981</v>
      </c>
      <c r="H14" s="205">
        <v>200</v>
      </c>
      <c r="I14" s="93">
        <f t="shared" si="1"/>
        <v>23655304400</v>
      </c>
      <c r="J14" s="205">
        <f t="shared" si="2"/>
        <v>2.3655304400000001</v>
      </c>
      <c r="K14" s="205"/>
      <c r="L14" s="205"/>
      <c r="M14" s="205"/>
      <c r="N14" s="205"/>
      <c r="O14" s="205"/>
      <c r="P14" s="205"/>
      <c r="Q14" s="205"/>
      <c r="R14" s="205"/>
      <c r="S14" s="205"/>
      <c r="T14" s="205"/>
      <c r="U14" s="205"/>
      <c r="V14" s="205"/>
      <c r="W14" s="205"/>
      <c r="X14" s="205"/>
      <c r="Y14" s="205"/>
      <c r="Z14" s="205"/>
      <c r="AA14" s="205"/>
      <c r="AB14" s="205"/>
      <c r="AC14" s="205"/>
    </row>
    <row r="15" spans="1:29">
      <c r="A15" s="205" t="s">
        <v>6172</v>
      </c>
      <c r="B15" s="292">
        <v>4228226</v>
      </c>
      <c r="C15" s="205">
        <f t="shared" si="0"/>
        <v>106322321</v>
      </c>
      <c r="D15" s="205" t="s">
        <v>5861</v>
      </c>
      <c r="E15" s="205" t="s">
        <v>6173</v>
      </c>
      <c r="F15" s="205" t="s">
        <v>5861</v>
      </c>
      <c r="G15" s="205" t="s">
        <v>6174</v>
      </c>
      <c r="H15" s="205">
        <v>300</v>
      </c>
      <c r="I15" s="93">
        <f t="shared" si="1"/>
        <v>31896696300</v>
      </c>
      <c r="J15" s="205">
        <f t="shared" si="2"/>
        <v>3.18966963</v>
      </c>
      <c r="K15" s="205"/>
      <c r="L15" s="205"/>
      <c r="M15" s="205"/>
      <c r="N15" s="205"/>
      <c r="O15" s="205"/>
      <c r="P15" s="205"/>
      <c r="Q15" s="205"/>
      <c r="R15" s="205"/>
      <c r="S15" s="205"/>
      <c r="T15" s="205"/>
      <c r="U15" s="205"/>
      <c r="V15" s="205"/>
      <c r="W15" s="205"/>
      <c r="X15" s="205"/>
      <c r="Y15" s="205"/>
      <c r="Z15" s="205"/>
      <c r="AA15" s="205"/>
      <c r="AB15" s="205"/>
      <c r="AC15" s="205"/>
    </row>
    <row r="16" spans="1:29">
      <c r="A16" s="205" t="s">
        <v>5991</v>
      </c>
      <c r="B16" s="292">
        <v>3555770</v>
      </c>
      <c r="C16" s="205">
        <f t="shared" si="0"/>
        <v>183381668</v>
      </c>
      <c r="D16" s="205" t="s">
        <v>5861</v>
      </c>
      <c r="E16" s="205" t="s">
        <v>5992</v>
      </c>
      <c r="F16" s="205" t="s">
        <v>5993</v>
      </c>
      <c r="G16" s="205" t="s">
        <v>5994</v>
      </c>
      <c r="H16" s="205">
        <v>200</v>
      </c>
      <c r="I16" s="93">
        <f t="shared" si="1"/>
        <v>36676333600</v>
      </c>
      <c r="J16" s="205">
        <f t="shared" si="2"/>
        <v>3.66763336</v>
      </c>
      <c r="K16" s="205"/>
      <c r="L16" s="205"/>
      <c r="M16" s="205"/>
      <c r="N16" s="205"/>
      <c r="O16" s="205"/>
      <c r="P16" s="205"/>
      <c r="Q16" s="205"/>
      <c r="R16" s="205"/>
      <c r="S16" s="205"/>
      <c r="T16" s="205"/>
      <c r="U16" s="205"/>
      <c r="V16" s="205"/>
      <c r="W16" s="205"/>
      <c r="X16" s="205"/>
      <c r="Y16" s="205"/>
      <c r="Z16" s="205"/>
      <c r="AA16" s="205"/>
      <c r="AB16" s="205"/>
      <c r="AC16" s="205"/>
    </row>
    <row r="17" spans="1:29">
      <c r="A17" s="205" t="s">
        <v>5964</v>
      </c>
      <c r="B17" s="292">
        <v>3392316</v>
      </c>
      <c r="C17" s="205">
        <f t="shared" si="0"/>
        <v>1015663732</v>
      </c>
      <c r="D17" s="205" t="s">
        <v>5861</v>
      </c>
      <c r="E17" s="205" t="s">
        <v>5965</v>
      </c>
      <c r="F17" s="205" t="s">
        <v>5966</v>
      </c>
      <c r="G17" s="205" t="s">
        <v>5967</v>
      </c>
      <c r="H17" s="205">
        <v>30</v>
      </c>
      <c r="I17" s="93">
        <f t="shared" si="1"/>
        <v>30469911960</v>
      </c>
      <c r="J17" s="205">
        <f t="shared" si="2"/>
        <v>3.046991196</v>
      </c>
      <c r="K17" s="205"/>
      <c r="L17" s="205"/>
      <c r="M17" s="205"/>
      <c r="N17" s="205"/>
      <c r="O17" s="205"/>
      <c r="P17" s="205"/>
      <c r="Q17" s="205"/>
      <c r="R17" s="205"/>
      <c r="S17" s="205"/>
      <c r="T17" s="205"/>
      <c r="U17" s="205"/>
      <c r="V17" s="205"/>
      <c r="W17" s="205"/>
      <c r="X17" s="205"/>
      <c r="Y17" s="205"/>
      <c r="Z17" s="205"/>
      <c r="AA17" s="205"/>
      <c r="AB17" s="205"/>
      <c r="AC17" s="205"/>
    </row>
    <row r="18" spans="1:29">
      <c r="A18" s="205" t="s">
        <v>5892</v>
      </c>
      <c r="B18" s="292">
        <v>3321096</v>
      </c>
      <c r="C18" s="205">
        <f t="shared" si="0"/>
        <v>254880755</v>
      </c>
      <c r="D18" s="205" t="s">
        <v>5861</v>
      </c>
      <c r="E18" s="205" t="s">
        <v>5893</v>
      </c>
      <c r="F18" s="205" t="s">
        <v>5894</v>
      </c>
      <c r="G18" s="205" t="s">
        <v>5895</v>
      </c>
      <c r="H18" s="205">
        <v>100</v>
      </c>
      <c r="I18" s="93">
        <f t="shared" si="1"/>
        <v>25488075500</v>
      </c>
      <c r="J18" s="205">
        <f t="shared" si="2"/>
        <v>2.5488075499999998</v>
      </c>
      <c r="K18" s="205"/>
      <c r="L18" s="205"/>
      <c r="M18" s="205"/>
      <c r="N18" s="205" t="s">
        <v>25</v>
      </c>
      <c r="O18" s="205"/>
      <c r="P18" s="205"/>
      <c r="Q18" s="205"/>
      <c r="R18" s="205"/>
      <c r="S18" s="205"/>
      <c r="T18" s="205"/>
      <c r="U18" s="205"/>
      <c r="V18" s="205"/>
      <c r="W18" s="205"/>
      <c r="X18" s="205"/>
      <c r="Y18" s="205"/>
      <c r="Z18" s="205"/>
      <c r="AA18" s="205"/>
      <c r="AB18" s="205"/>
      <c r="AC18" s="205"/>
    </row>
    <row r="19" spans="1:29">
      <c r="A19" s="205" t="s">
        <v>5935</v>
      </c>
      <c r="B19" s="292">
        <v>2708729</v>
      </c>
      <c r="C19" s="205">
        <f t="shared" si="0"/>
        <v>158220192</v>
      </c>
      <c r="D19" s="205" t="s">
        <v>5861</v>
      </c>
      <c r="E19" s="205" t="s">
        <v>5936</v>
      </c>
      <c r="F19" s="205" t="s">
        <v>5937</v>
      </c>
      <c r="G19" s="205" t="s">
        <v>5938</v>
      </c>
      <c r="H19" s="205">
        <v>150</v>
      </c>
      <c r="I19" s="93">
        <f t="shared" ref="I19:I33" si="3">C19*H19</f>
        <v>23733028800</v>
      </c>
      <c r="J19" s="205">
        <f t="shared" si="2"/>
        <v>2.3733028799999998</v>
      </c>
      <c r="K19" s="205"/>
      <c r="L19" s="205"/>
      <c r="M19" s="205"/>
      <c r="N19" s="205"/>
      <c r="O19" s="205"/>
      <c r="P19" s="205"/>
      <c r="Q19" s="205"/>
      <c r="R19" s="205"/>
      <c r="S19" s="205"/>
      <c r="T19" s="205"/>
      <c r="U19" s="205"/>
      <c r="V19" s="205"/>
      <c r="W19" s="205"/>
      <c r="X19" s="205"/>
      <c r="Y19" s="205"/>
      <c r="Z19" s="205"/>
      <c r="AA19" s="205"/>
      <c r="AB19" s="205"/>
      <c r="AC19" s="205"/>
    </row>
    <row r="20" spans="1:29">
      <c r="A20" s="205" t="s">
        <v>5880</v>
      </c>
      <c r="B20" s="292">
        <v>2623529</v>
      </c>
      <c r="C20" s="205">
        <f t="shared" si="0"/>
        <v>101805550</v>
      </c>
      <c r="D20" s="205" t="s">
        <v>5861</v>
      </c>
      <c r="E20" s="205" t="s">
        <v>5881</v>
      </c>
      <c r="F20" s="205" t="s">
        <v>5882</v>
      </c>
      <c r="G20" s="205" t="s">
        <v>5883</v>
      </c>
      <c r="H20" s="205">
        <v>250</v>
      </c>
      <c r="I20" s="93">
        <f t="shared" si="3"/>
        <v>25451387500</v>
      </c>
      <c r="J20" s="205">
        <f t="shared" si="2"/>
        <v>2.54513875</v>
      </c>
      <c r="K20" s="205"/>
      <c r="L20" s="205"/>
      <c r="M20" s="205"/>
      <c r="N20" s="205"/>
      <c r="O20" s="205"/>
      <c r="P20" s="205"/>
      <c r="Q20" s="205"/>
      <c r="R20" s="205"/>
      <c r="S20" s="205"/>
      <c r="T20" s="205"/>
      <c r="U20" s="205"/>
      <c r="V20" s="205"/>
      <c r="W20" s="205"/>
      <c r="X20" s="205"/>
      <c r="Y20" s="205"/>
      <c r="Z20" s="205"/>
      <c r="AA20" s="205"/>
      <c r="AB20" s="205"/>
      <c r="AC20" s="205"/>
    </row>
    <row r="21" spans="1:29">
      <c r="A21" s="205" t="s">
        <v>5875</v>
      </c>
      <c r="B21" s="292">
        <v>2224069</v>
      </c>
      <c r="C21" s="205">
        <f t="shared" si="0"/>
        <v>30270982</v>
      </c>
      <c r="D21" s="205" t="s">
        <v>5876</v>
      </c>
      <c r="E21" s="205" t="s">
        <v>5877</v>
      </c>
      <c r="F21" s="205" t="s">
        <v>5878</v>
      </c>
      <c r="G21" s="205" t="s">
        <v>5879</v>
      </c>
      <c r="H21" s="205">
        <v>300</v>
      </c>
      <c r="I21" s="93">
        <f t="shared" si="3"/>
        <v>9081294600</v>
      </c>
      <c r="J21" s="205">
        <f t="shared" si="2"/>
        <v>0.90812946000000005</v>
      </c>
      <c r="K21" s="205"/>
      <c r="L21" s="205"/>
      <c r="M21" s="205"/>
      <c r="N21" s="205"/>
      <c r="O21" s="205"/>
      <c r="P21" s="205"/>
      <c r="Q21" s="205"/>
      <c r="R21" s="205"/>
      <c r="S21" s="205"/>
      <c r="T21" s="205"/>
      <c r="U21" s="205"/>
      <c r="V21" s="205"/>
      <c r="W21" s="205"/>
      <c r="X21" s="205"/>
      <c r="Y21" s="205"/>
      <c r="Z21" s="205"/>
      <c r="AA21" s="205"/>
      <c r="AB21" s="205"/>
      <c r="AC21" s="205"/>
    </row>
    <row r="22" spans="1:29">
      <c r="A22" s="205" t="s">
        <v>5995</v>
      </c>
      <c r="B22" s="293" t="s">
        <v>5996</v>
      </c>
      <c r="C22" s="205">
        <f t="shared" si="0"/>
        <v>114588426</v>
      </c>
      <c r="D22" s="205" t="s">
        <v>5861</v>
      </c>
      <c r="E22" s="205" t="s">
        <v>5997</v>
      </c>
      <c r="F22" s="205" t="s">
        <v>5998</v>
      </c>
      <c r="G22" s="205" t="s">
        <v>5999</v>
      </c>
      <c r="H22" s="205"/>
      <c r="I22" s="93">
        <f t="shared" si="3"/>
        <v>0</v>
      </c>
      <c r="J22" s="205">
        <f t="shared" si="2"/>
        <v>0</v>
      </c>
      <c r="K22" s="205"/>
      <c r="L22" s="205"/>
      <c r="M22" s="205"/>
      <c r="N22" s="205"/>
      <c r="O22" s="205"/>
      <c r="P22" s="205"/>
      <c r="Q22" s="205"/>
      <c r="R22" s="205"/>
      <c r="S22" s="205"/>
      <c r="T22" s="205"/>
      <c r="U22" s="205"/>
      <c r="V22" s="205"/>
      <c r="W22" s="205"/>
      <c r="X22" s="205"/>
      <c r="Y22" s="205"/>
      <c r="Z22" s="205"/>
      <c r="AA22" s="205"/>
      <c r="AB22" s="205"/>
      <c r="AC22" s="205"/>
    </row>
    <row r="23" spans="1:29">
      <c r="A23" s="205" t="s">
        <v>5952</v>
      </c>
      <c r="B23" s="293" t="s">
        <v>5953</v>
      </c>
      <c r="C23" s="205">
        <f t="shared" si="0"/>
        <v>735760160</v>
      </c>
      <c r="D23" s="205" t="s">
        <v>5954</v>
      </c>
      <c r="E23" s="205" t="s">
        <v>5955</v>
      </c>
      <c r="F23" s="205" t="s">
        <v>5956</v>
      </c>
      <c r="G23" s="205" t="s">
        <v>5957</v>
      </c>
      <c r="H23" s="205"/>
      <c r="I23" s="93">
        <f t="shared" si="3"/>
        <v>0</v>
      </c>
      <c r="J23" s="205">
        <f t="shared" si="2"/>
        <v>0</v>
      </c>
      <c r="K23" s="205"/>
      <c r="L23" s="205"/>
      <c r="M23" s="205"/>
      <c r="N23" s="205"/>
      <c r="O23" s="205"/>
      <c r="P23" s="205"/>
      <c r="Q23" s="205"/>
      <c r="R23" s="205"/>
      <c r="S23" s="205"/>
      <c r="T23" s="205"/>
      <c r="U23" s="205"/>
      <c r="V23" s="205"/>
      <c r="W23" s="205"/>
      <c r="X23" s="205"/>
      <c r="Y23" s="205"/>
      <c r="Z23" s="205"/>
      <c r="AA23" s="205"/>
      <c r="AB23" s="205"/>
      <c r="AC23" s="205"/>
    </row>
    <row r="24" spans="1:29">
      <c r="A24" s="205" t="s">
        <v>6111</v>
      </c>
      <c r="B24" s="293" t="s">
        <v>6112</v>
      </c>
      <c r="C24" s="205">
        <f t="shared" si="0"/>
        <v>4044500</v>
      </c>
      <c r="D24" s="205" t="s">
        <v>5861</v>
      </c>
      <c r="E24" s="205" t="s">
        <v>6113</v>
      </c>
      <c r="F24" s="205" t="s">
        <v>6097</v>
      </c>
      <c r="G24" s="205" t="s">
        <v>6114</v>
      </c>
      <c r="H24" s="205"/>
      <c r="I24" s="93">
        <f t="shared" si="3"/>
        <v>0</v>
      </c>
      <c r="J24" s="205">
        <f t="shared" si="2"/>
        <v>0</v>
      </c>
      <c r="K24" s="205"/>
      <c r="L24" s="205"/>
      <c r="M24" s="205"/>
      <c r="N24" s="205"/>
      <c r="O24" s="205"/>
      <c r="P24" s="205"/>
      <c r="Q24" s="205"/>
      <c r="R24" s="205"/>
      <c r="S24" s="205"/>
      <c r="T24" s="205"/>
      <c r="U24" s="205"/>
      <c r="V24" s="205"/>
      <c r="W24" s="205"/>
      <c r="X24" s="205"/>
      <c r="Y24" s="205"/>
      <c r="Z24" s="205"/>
      <c r="AA24" s="205"/>
      <c r="AB24" s="205"/>
      <c r="AC24" s="205"/>
    </row>
    <row r="25" spans="1:29">
      <c r="A25" s="205" t="s">
        <v>6024</v>
      </c>
      <c r="B25" s="293" t="s">
        <v>6025</v>
      </c>
      <c r="C25" s="205">
        <f t="shared" si="0"/>
        <v>53400000</v>
      </c>
      <c r="D25" s="205" t="s">
        <v>5861</v>
      </c>
      <c r="E25" s="205" t="s">
        <v>6026</v>
      </c>
      <c r="F25" s="205" t="s">
        <v>6027</v>
      </c>
      <c r="G25" s="205" t="s">
        <v>6028</v>
      </c>
      <c r="H25" s="205"/>
      <c r="I25" s="93">
        <f t="shared" si="3"/>
        <v>0</v>
      </c>
      <c r="J25" s="205">
        <f t="shared" si="2"/>
        <v>0</v>
      </c>
      <c r="K25" s="205"/>
      <c r="L25" s="205"/>
      <c r="M25" s="205"/>
      <c r="N25" s="205"/>
      <c r="O25" s="205"/>
      <c r="P25" s="205"/>
      <c r="Q25" s="205"/>
      <c r="R25" s="205"/>
      <c r="S25" s="205"/>
      <c r="T25" s="205"/>
      <c r="U25" s="205"/>
      <c r="V25" s="205"/>
      <c r="W25" s="205"/>
      <c r="X25" s="205"/>
      <c r="Y25" s="205"/>
      <c r="Z25" s="205"/>
      <c r="AA25" s="205"/>
      <c r="AB25" s="205"/>
      <c r="AC25" s="205"/>
    </row>
    <row r="26" spans="1:29">
      <c r="A26" s="205" t="s">
        <v>5902</v>
      </c>
      <c r="B26" s="293" t="s">
        <v>5903</v>
      </c>
      <c r="C26" s="205">
        <f t="shared" si="0"/>
        <v>36391574</v>
      </c>
      <c r="D26" s="205" t="s">
        <v>5861</v>
      </c>
      <c r="E26" s="205" t="s">
        <v>5904</v>
      </c>
      <c r="F26" s="205" t="s">
        <v>5905</v>
      </c>
      <c r="G26" s="205" t="s">
        <v>5906</v>
      </c>
      <c r="H26" s="205"/>
      <c r="I26" s="93">
        <f t="shared" si="3"/>
        <v>0</v>
      </c>
      <c r="J26" s="205">
        <f t="shared" si="2"/>
        <v>0</v>
      </c>
      <c r="K26" s="205"/>
      <c r="L26" s="205"/>
      <c r="M26" s="205"/>
      <c r="N26" s="205"/>
      <c r="O26" s="205"/>
      <c r="P26" s="205"/>
      <c r="Q26" s="205"/>
      <c r="R26" s="205"/>
      <c r="S26" s="205"/>
      <c r="T26" s="205"/>
      <c r="U26" s="205"/>
      <c r="V26" s="205"/>
      <c r="W26" s="205"/>
      <c r="X26" s="205"/>
      <c r="Y26" s="205"/>
      <c r="Z26" s="205"/>
      <c r="AA26" s="205"/>
      <c r="AB26" s="205"/>
      <c r="AC26" s="205"/>
    </row>
    <row r="27" spans="1:29">
      <c r="A27" s="205" t="s">
        <v>5943</v>
      </c>
      <c r="B27" s="293" t="s">
        <v>5944</v>
      </c>
      <c r="C27" s="205">
        <f t="shared" si="0"/>
        <v>29296590</v>
      </c>
      <c r="D27" s="205" t="s">
        <v>5861</v>
      </c>
      <c r="E27" s="205" t="s">
        <v>5945</v>
      </c>
      <c r="F27" s="205" t="s">
        <v>5946</v>
      </c>
      <c r="G27" s="205" t="s">
        <v>5947</v>
      </c>
      <c r="H27" s="205"/>
      <c r="I27" s="93">
        <f t="shared" si="3"/>
        <v>0</v>
      </c>
      <c r="J27" s="205">
        <f t="shared" si="2"/>
        <v>0</v>
      </c>
      <c r="K27" s="205"/>
      <c r="L27" s="205"/>
      <c r="M27" s="205"/>
      <c r="N27" s="205"/>
      <c r="O27" s="205"/>
      <c r="P27" s="205"/>
      <c r="Q27" s="205"/>
      <c r="R27" s="205"/>
      <c r="S27" s="205"/>
      <c r="T27" s="205"/>
      <c r="U27" s="205"/>
      <c r="V27" s="205"/>
      <c r="W27" s="205"/>
      <c r="X27" s="205"/>
      <c r="Y27" s="205"/>
      <c r="Z27" s="205"/>
      <c r="AA27" s="205"/>
      <c r="AB27" s="205"/>
      <c r="AC27" s="205"/>
    </row>
    <row r="28" spans="1:29">
      <c r="A28" s="205" t="s">
        <v>6039</v>
      </c>
      <c r="B28" s="293" t="s">
        <v>6040</v>
      </c>
      <c r="C28" s="205">
        <f t="shared" si="0"/>
        <v>32151333</v>
      </c>
      <c r="D28" s="205" t="s">
        <v>5861</v>
      </c>
      <c r="E28" s="205" t="s">
        <v>6041</v>
      </c>
      <c r="F28" s="205" t="s">
        <v>6042</v>
      </c>
      <c r="G28" s="205" t="s">
        <v>6043</v>
      </c>
      <c r="H28" s="205"/>
      <c r="I28" s="93">
        <f t="shared" si="3"/>
        <v>0</v>
      </c>
      <c r="J28" s="205">
        <f t="shared" si="2"/>
        <v>0</v>
      </c>
      <c r="K28" s="205"/>
      <c r="L28" s="205"/>
      <c r="M28" s="205"/>
      <c r="N28" s="205"/>
      <c r="O28" s="205"/>
      <c r="P28" s="205"/>
      <c r="Q28" s="205"/>
      <c r="R28" s="205"/>
      <c r="S28" s="205"/>
      <c r="T28" s="205"/>
      <c r="U28" s="205"/>
      <c r="V28" s="205"/>
      <c r="W28" s="205"/>
      <c r="X28" s="205"/>
      <c r="Y28" s="205"/>
      <c r="Z28" s="205"/>
      <c r="AA28" s="205"/>
      <c r="AB28" s="205"/>
      <c r="AC28" s="205"/>
    </row>
    <row r="29" spans="1:29">
      <c r="A29" s="205" t="s">
        <v>5896</v>
      </c>
      <c r="B29" s="293" t="s">
        <v>5897</v>
      </c>
      <c r="C29" s="205">
        <f t="shared" si="0"/>
        <v>23043086</v>
      </c>
      <c r="D29" s="205" t="s">
        <v>5898</v>
      </c>
      <c r="E29" s="205" t="s">
        <v>5899</v>
      </c>
      <c r="F29" s="205" t="s">
        <v>5900</v>
      </c>
      <c r="G29" s="205" t="s">
        <v>5901</v>
      </c>
      <c r="H29" s="205"/>
      <c r="I29" s="93">
        <f t="shared" si="3"/>
        <v>0</v>
      </c>
      <c r="J29" s="205">
        <f t="shared" si="2"/>
        <v>0</v>
      </c>
      <c r="K29" s="205"/>
      <c r="L29" s="205"/>
      <c r="M29" s="205"/>
      <c r="N29" s="205"/>
      <c r="O29" s="205"/>
      <c r="P29" s="205"/>
      <c r="Q29" s="205"/>
      <c r="R29" s="205"/>
      <c r="S29" s="205"/>
      <c r="T29" s="205"/>
      <c r="U29" s="205"/>
      <c r="V29" s="205"/>
      <c r="W29" s="205"/>
      <c r="X29" s="205"/>
      <c r="Y29" s="205"/>
      <c r="Z29" s="205"/>
      <c r="AA29" s="205"/>
      <c r="AB29" s="205"/>
      <c r="AC29" s="205"/>
    </row>
    <row r="30" spans="1:29">
      <c r="A30" s="205" t="s">
        <v>6004</v>
      </c>
      <c r="B30" s="293" t="s">
        <v>6005</v>
      </c>
      <c r="C30" s="205">
        <f t="shared" si="0"/>
        <v>126674402</v>
      </c>
      <c r="D30" s="205" t="s">
        <v>5861</v>
      </c>
      <c r="E30" s="205" t="s">
        <v>6006</v>
      </c>
      <c r="F30" s="205" t="s">
        <v>6007</v>
      </c>
      <c r="G30" s="205" t="s">
        <v>6008</v>
      </c>
      <c r="H30" s="205"/>
      <c r="I30" s="93">
        <f t="shared" si="3"/>
        <v>0</v>
      </c>
      <c r="J30" s="205">
        <f t="shared" si="2"/>
        <v>0</v>
      </c>
      <c r="K30" s="205"/>
      <c r="L30" s="205"/>
      <c r="M30" s="205"/>
      <c r="N30" s="205"/>
      <c r="O30" s="205"/>
      <c r="P30" s="205"/>
      <c r="Q30" s="205"/>
      <c r="R30" s="205"/>
      <c r="S30" s="205"/>
      <c r="T30" s="205"/>
      <c r="U30" s="205"/>
      <c r="V30" s="205"/>
      <c r="W30" s="205"/>
      <c r="X30" s="205"/>
      <c r="Y30" s="205"/>
      <c r="Z30" s="205"/>
      <c r="AA30" s="205"/>
      <c r="AB30" s="205"/>
      <c r="AC30" s="205"/>
    </row>
    <row r="31" spans="1:29">
      <c r="A31" s="205" t="s">
        <v>5973</v>
      </c>
      <c r="B31" s="293" t="s">
        <v>5974</v>
      </c>
      <c r="C31" s="205">
        <f t="shared" si="0"/>
        <v>182160000</v>
      </c>
      <c r="D31" s="205" t="s">
        <v>5861</v>
      </c>
      <c r="E31" s="205" t="s">
        <v>5975</v>
      </c>
      <c r="F31" s="205" t="s">
        <v>5976</v>
      </c>
      <c r="G31" s="205" t="s">
        <v>5977</v>
      </c>
      <c r="H31" s="205"/>
      <c r="I31" s="93">
        <f t="shared" si="3"/>
        <v>0</v>
      </c>
      <c r="J31" s="205">
        <f t="shared" si="2"/>
        <v>0</v>
      </c>
      <c r="K31" s="205"/>
      <c r="L31" s="205"/>
      <c r="M31" s="205"/>
      <c r="N31" s="205"/>
      <c r="O31" s="205"/>
      <c r="P31" s="205"/>
      <c r="Q31" s="205"/>
      <c r="R31" s="205"/>
      <c r="S31" s="205"/>
      <c r="T31" s="205"/>
      <c r="U31" s="205"/>
      <c r="V31" s="205"/>
      <c r="W31" s="205"/>
      <c r="X31" s="205"/>
      <c r="Y31" s="205"/>
      <c r="Z31" s="205"/>
      <c r="AA31" s="205"/>
      <c r="AB31" s="205"/>
      <c r="AC31" s="205"/>
    </row>
    <row r="32" spans="1:29">
      <c r="A32" s="205" t="s">
        <v>6019</v>
      </c>
      <c r="B32" s="293" t="s">
        <v>6020</v>
      </c>
      <c r="C32" s="205">
        <f t="shared" si="0"/>
        <v>67919940</v>
      </c>
      <c r="D32" s="205" t="s">
        <v>5861</v>
      </c>
      <c r="E32" s="205" t="s">
        <v>6021</v>
      </c>
      <c r="F32" s="205" t="s">
        <v>6022</v>
      </c>
      <c r="G32" s="205" t="s">
        <v>6023</v>
      </c>
      <c r="H32" s="205"/>
      <c r="I32" s="93">
        <f t="shared" si="3"/>
        <v>0</v>
      </c>
      <c r="J32" s="205">
        <f t="shared" si="2"/>
        <v>0</v>
      </c>
      <c r="K32" s="205"/>
      <c r="L32" s="205"/>
      <c r="M32" s="205"/>
      <c r="N32" s="205"/>
      <c r="O32" s="205"/>
      <c r="P32" s="205"/>
      <c r="Q32" s="205"/>
      <c r="R32" s="205"/>
      <c r="S32" s="205"/>
      <c r="T32" s="205"/>
      <c r="U32" s="205"/>
      <c r="V32" s="205"/>
      <c r="W32" s="205"/>
      <c r="X32" s="205"/>
      <c r="Y32" s="205"/>
      <c r="Z32" s="205"/>
      <c r="AA32" s="205"/>
      <c r="AB32" s="205"/>
      <c r="AC32" s="205"/>
    </row>
    <row r="33" spans="1:29">
      <c r="A33" s="205" t="s">
        <v>6044</v>
      </c>
      <c r="B33" s="293" t="s">
        <v>6045</v>
      </c>
      <c r="C33" s="205">
        <f t="shared" si="0"/>
        <v>29288000</v>
      </c>
      <c r="D33" s="205" t="s">
        <v>5861</v>
      </c>
      <c r="E33" s="205" t="s">
        <v>6046</v>
      </c>
      <c r="F33" s="205" t="s">
        <v>6047</v>
      </c>
      <c r="G33" s="205" t="s">
        <v>6048</v>
      </c>
      <c r="H33" s="205"/>
      <c r="I33" s="93">
        <f t="shared" si="3"/>
        <v>0</v>
      </c>
      <c r="J33" s="205">
        <f t="shared" si="2"/>
        <v>0</v>
      </c>
      <c r="K33" s="205"/>
      <c r="L33" s="205"/>
      <c r="M33" s="205"/>
      <c r="N33" s="205"/>
      <c r="O33" s="205"/>
      <c r="P33" s="205"/>
      <c r="Q33" s="205"/>
      <c r="R33" s="205"/>
      <c r="S33" s="205"/>
      <c r="T33" s="205"/>
      <c r="U33" s="205"/>
      <c r="V33" s="205"/>
      <c r="W33" s="205"/>
      <c r="X33" s="205"/>
      <c r="Y33" s="205"/>
      <c r="Z33" s="205"/>
      <c r="AA33" s="205"/>
      <c r="AB33" s="205"/>
      <c r="AC33" s="205"/>
    </row>
    <row r="34" spans="1:29">
      <c r="A34" s="205" t="s">
        <v>6054</v>
      </c>
      <c r="B34" s="293" t="s">
        <v>6055</v>
      </c>
      <c r="C34" s="205">
        <f t="shared" ref="C34:C65" si="4">D34+E34</f>
        <v>259990000</v>
      </c>
      <c r="D34" s="205" t="s">
        <v>5861</v>
      </c>
      <c r="E34" s="205" t="s">
        <v>6056</v>
      </c>
      <c r="F34" s="205" t="s">
        <v>6057</v>
      </c>
      <c r="G34" s="205" t="s">
        <v>6058</v>
      </c>
      <c r="H34" s="205"/>
      <c r="I34" s="205"/>
      <c r="J34" s="205"/>
      <c r="K34" s="205"/>
      <c r="L34" s="205"/>
      <c r="M34" s="205"/>
      <c r="N34" s="205"/>
      <c r="O34" s="205"/>
      <c r="P34" s="205"/>
      <c r="Q34" s="205"/>
      <c r="R34" s="205"/>
      <c r="S34" s="205"/>
      <c r="T34" s="205"/>
      <c r="U34" s="205"/>
      <c r="V34" s="205"/>
      <c r="W34" s="205"/>
      <c r="X34" s="205"/>
      <c r="Y34" s="205"/>
      <c r="Z34" s="205"/>
      <c r="AA34" s="205"/>
      <c r="AB34" s="205"/>
      <c r="AC34" s="205"/>
    </row>
    <row r="35" spans="1:29">
      <c r="A35" s="205" t="s">
        <v>6009</v>
      </c>
      <c r="B35" s="293" t="s">
        <v>6010</v>
      </c>
      <c r="C35" s="205">
        <f t="shared" si="4"/>
        <v>6208016</v>
      </c>
      <c r="D35" s="205" t="s">
        <v>5861</v>
      </c>
      <c r="E35" s="205" t="s">
        <v>6011</v>
      </c>
      <c r="F35" s="205" t="s">
        <v>6012</v>
      </c>
      <c r="G35" s="205" t="s">
        <v>6013</v>
      </c>
      <c r="H35" s="205"/>
      <c r="I35" s="205"/>
      <c r="J35" s="205"/>
      <c r="K35" s="205"/>
      <c r="L35" s="205"/>
      <c r="M35" s="205"/>
      <c r="N35" s="205"/>
      <c r="O35" s="205"/>
      <c r="P35" s="205"/>
      <c r="Q35" s="205"/>
      <c r="R35" s="205"/>
      <c r="S35" s="205"/>
      <c r="T35" s="205"/>
      <c r="U35" s="205"/>
      <c r="V35" s="205"/>
      <c r="W35" s="205"/>
      <c r="X35" s="205"/>
      <c r="Y35" s="205"/>
      <c r="Z35" s="205"/>
      <c r="AA35" s="205"/>
      <c r="AB35" s="205"/>
      <c r="AC35" s="205"/>
    </row>
    <row r="36" spans="1:29">
      <c r="A36" s="205" t="s">
        <v>5924</v>
      </c>
      <c r="B36" s="293" t="s">
        <v>5925</v>
      </c>
      <c r="C36" s="205">
        <f t="shared" si="4"/>
        <v>39242697</v>
      </c>
      <c r="D36" s="205" t="s">
        <v>5926</v>
      </c>
      <c r="E36" s="205" t="s">
        <v>5927</v>
      </c>
      <c r="F36" s="205" t="s">
        <v>5928</v>
      </c>
      <c r="G36" s="205" t="s">
        <v>5929</v>
      </c>
      <c r="H36" s="205"/>
      <c r="I36" s="205"/>
      <c r="J36" s="205"/>
      <c r="K36" s="205"/>
      <c r="L36" s="205"/>
      <c r="M36" s="205"/>
      <c r="N36" s="205"/>
      <c r="O36" s="205"/>
      <c r="P36" s="205"/>
      <c r="Q36" s="205"/>
      <c r="R36" s="205"/>
      <c r="S36" s="205"/>
      <c r="T36" s="205"/>
      <c r="U36" s="205"/>
      <c r="V36" s="205"/>
      <c r="W36" s="205"/>
      <c r="X36" s="205"/>
      <c r="Y36" s="205"/>
      <c r="Z36" s="205"/>
      <c r="AA36" s="205"/>
      <c r="AB36" s="205"/>
      <c r="AC36" s="205"/>
    </row>
    <row r="37" spans="1:29">
      <c r="A37" s="205" t="s">
        <v>6049</v>
      </c>
      <c r="B37" s="293" t="s">
        <v>6050</v>
      </c>
      <c r="C37" s="205">
        <f t="shared" si="4"/>
        <v>24338461</v>
      </c>
      <c r="D37" s="205" t="s">
        <v>5861</v>
      </c>
      <c r="E37" s="205" t="s">
        <v>6051</v>
      </c>
      <c r="F37" s="205" t="s">
        <v>6052</v>
      </c>
      <c r="G37" s="205" t="s">
        <v>6053</v>
      </c>
      <c r="H37" s="205"/>
      <c r="I37" s="205"/>
      <c r="J37" s="205"/>
      <c r="K37" s="205"/>
      <c r="L37" s="205"/>
      <c r="M37" s="205"/>
      <c r="N37" s="205"/>
      <c r="O37" s="205"/>
      <c r="P37" s="205"/>
      <c r="Q37" s="205"/>
      <c r="R37" s="205"/>
      <c r="S37" s="205"/>
      <c r="T37" s="205"/>
      <c r="U37" s="205"/>
      <c r="V37" s="205"/>
      <c r="W37" s="205"/>
      <c r="X37" s="205"/>
      <c r="Y37" s="205"/>
      <c r="Z37" s="205"/>
      <c r="AA37" s="205"/>
      <c r="AB37" s="205"/>
      <c r="AC37" s="205"/>
    </row>
    <row r="38" spans="1:29">
      <c r="A38" s="205" t="s">
        <v>5930</v>
      </c>
      <c r="B38" s="293" t="s">
        <v>5931</v>
      </c>
      <c r="C38" s="205">
        <f t="shared" si="4"/>
        <v>35697979</v>
      </c>
      <c r="D38" s="205" t="s">
        <v>5861</v>
      </c>
      <c r="E38" s="205" t="s">
        <v>5932</v>
      </c>
      <c r="F38" s="205" t="s">
        <v>5933</v>
      </c>
      <c r="G38" s="205" t="s">
        <v>5934</v>
      </c>
      <c r="H38" s="205"/>
      <c r="I38" s="205"/>
      <c r="J38" s="205"/>
      <c r="K38" s="205"/>
      <c r="L38" s="205"/>
      <c r="M38" s="205"/>
      <c r="N38" s="205"/>
      <c r="O38" s="205"/>
      <c r="P38" s="205"/>
      <c r="Q38" s="205"/>
      <c r="R38" s="205"/>
      <c r="S38" s="205"/>
      <c r="T38" s="205"/>
      <c r="U38" s="205"/>
      <c r="V38" s="205"/>
      <c r="W38" s="205"/>
      <c r="X38" s="205"/>
      <c r="Y38" s="205"/>
      <c r="Z38" s="205"/>
      <c r="AA38" s="205"/>
      <c r="AB38" s="205"/>
      <c r="AC38" s="205"/>
    </row>
    <row r="39" spans="1:29">
      <c r="A39" s="205" t="s">
        <v>5958</v>
      </c>
      <c r="B39" s="293" t="s">
        <v>5959</v>
      </c>
      <c r="C39" s="205">
        <f t="shared" si="4"/>
        <v>30949707</v>
      </c>
      <c r="D39" s="205" t="s">
        <v>5960</v>
      </c>
      <c r="E39" s="205" t="s">
        <v>5961</v>
      </c>
      <c r="F39" s="205" t="s">
        <v>5962</v>
      </c>
      <c r="G39" s="205" t="s">
        <v>5963</v>
      </c>
      <c r="H39" s="205"/>
      <c r="I39" s="205"/>
      <c r="J39" s="205"/>
      <c r="K39" s="205"/>
      <c r="L39" s="205"/>
      <c r="M39" s="205"/>
      <c r="N39" s="205"/>
      <c r="O39" s="205"/>
      <c r="P39" s="205"/>
      <c r="Q39" s="205"/>
      <c r="R39" s="205"/>
      <c r="S39" s="205"/>
      <c r="T39" s="205"/>
      <c r="U39" s="205"/>
      <c r="V39" s="205"/>
      <c r="W39" s="205"/>
      <c r="X39" s="205"/>
      <c r="Y39" s="205"/>
      <c r="Z39" s="205"/>
      <c r="AA39" s="205"/>
      <c r="AB39" s="205"/>
      <c r="AC39" s="205"/>
    </row>
    <row r="40" spans="1:29">
      <c r="A40" s="205" t="s">
        <v>5920</v>
      </c>
      <c r="B40" s="293" t="s">
        <v>5921</v>
      </c>
      <c r="C40" s="205">
        <f t="shared" si="4"/>
        <v>11270740</v>
      </c>
      <c r="D40" s="205" t="s">
        <v>5861</v>
      </c>
      <c r="E40" s="205" t="s">
        <v>5922</v>
      </c>
      <c r="F40" s="205" t="s">
        <v>5923</v>
      </c>
      <c r="G40" s="205" t="s">
        <v>4826</v>
      </c>
      <c r="H40" s="205"/>
      <c r="I40" s="205"/>
      <c r="J40" s="205"/>
      <c r="K40" s="205"/>
      <c r="L40" s="205"/>
      <c r="M40" s="205"/>
      <c r="N40" s="205"/>
      <c r="O40" s="205"/>
      <c r="P40" s="205"/>
      <c r="Q40" s="205"/>
      <c r="R40" s="205"/>
      <c r="S40" s="205"/>
      <c r="T40" s="205"/>
      <c r="U40" s="205"/>
      <c r="V40" s="205"/>
      <c r="W40" s="205"/>
      <c r="X40" s="205"/>
      <c r="Y40" s="205"/>
      <c r="Z40" s="205"/>
      <c r="AA40" s="205"/>
      <c r="AB40" s="205"/>
      <c r="AC40" s="205"/>
    </row>
    <row r="41" spans="1:29">
      <c r="A41" s="205" t="s">
        <v>6065</v>
      </c>
      <c r="B41" s="293" t="s">
        <v>6066</v>
      </c>
      <c r="C41" s="205">
        <f t="shared" si="4"/>
        <v>15600000</v>
      </c>
      <c r="D41" s="205" t="s">
        <v>5861</v>
      </c>
      <c r="E41" s="205" t="s">
        <v>6067</v>
      </c>
      <c r="F41" s="205" t="s">
        <v>6068</v>
      </c>
      <c r="G41" s="205" t="s">
        <v>6069</v>
      </c>
      <c r="H41" s="205"/>
      <c r="I41" s="205"/>
      <c r="J41" s="205"/>
      <c r="K41" s="205"/>
      <c r="L41" s="205"/>
      <c r="M41" s="205"/>
      <c r="N41" s="205"/>
      <c r="O41" s="205"/>
      <c r="P41" s="205"/>
      <c r="Q41" s="205"/>
      <c r="R41" s="205"/>
      <c r="S41" s="205"/>
      <c r="T41" s="205"/>
      <c r="U41" s="205"/>
      <c r="V41" s="205"/>
      <c r="W41" s="205"/>
      <c r="X41" s="205"/>
      <c r="Y41" s="205"/>
      <c r="Z41" s="205"/>
      <c r="AA41" s="205"/>
      <c r="AB41" s="205"/>
      <c r="AC41" s="205"/>
    </row>
    <row r="42" spans="1:29">
      <c r="A42" s="205" t="s">
        <v>5911</v>
      </c>
      <c r="B42" s="293" t="s">
        <v>5912</v>
      </c>
      <c r="C42" s="205">
        <f t="shared" si="4"/>
        <v>14702520</v>
      </c>
      <c r="D42" s="205" t="s">
        <v>5861</v>
      </c>
      <c r="E42" s="205" t="s">
        <v>5913</v>
      </c>
      <c r="F42" s="205" t="s">
        <v>5914</v>
      </c>
      <c r="G42" s="205" t="s">
        <v>5915</v>
      </c>
      <c r="H42" s="205"/>
      <c r="I42" s="205"/>
      <c r="J42" s="205"/>
      <c r="K42" s="205"/>
      <c r="L42" s="205"/>
      <c r="M42" s="205"/>
      <c r="N42" s="205"/>
      <c r="O42" s="205"/>
      <c r="P42" s="205"/>
      <c r="Q42" s="205"/>
      <c r="R42" s="205"/>
      <c r="S42" s="205"/>
      <c r="T42" s="205"/>
      <c r="U42" s="205"/>
      <c r="V42" s="205"/>
      <c r="W42" s="205"/>
      <c r="X42" s="205"/>
      <c r="Y42" s="205"/>
      <c r="Z42" s="205"/>
      <c r="AA42" s="205"/>
      <c r="AB42" s="205"/>
      <c r="AC42" s="205"/>
    </row>
    <row r="43" spans="1:29">
      <c r="A43" s="205" t="s">
        <v>5986</v>
      </c>
      <c r="B43" s="293" t="s">
        <v>5987</v>
      </c>
      <c r="C43" s="205">
        <f t="shared" si="4"/>
        <v>13930853</v>
      </c>
      <c r="D43" s="205" t="s">
        <v>5861</v>
      </c>
      <c r="E43" s="205" t="s">
        <v>5988</v>
      </c>
      <c r="F43" s="205" t="s">
        <v>5989</v>
      </c>
      <c r="G43" s="205" t="s">
        <v>5990</v>
      </c>
      <c r="H43" s="205"/>
      <c r="I43" s="205"/>
      <c r="J43" s="205"/>
      <c r="K43" s="205"/>
      <c r="L43" s="205"/>
      <c r="M43" s="205"/>
      <c r="N43" s="205"/>
      <c r="O43" s="205"/>
      <c r="P43" s="205"/>
      <c r="Q43" s="205"/>
      <c r="R43" s="205"/>
      <c r="S43" s="205"/>
      <c r="T43" s="205"/>
      <c r="U43" s="205"/>
      <c r="V43" s="205"/>
      <c r="W43" s="205"/>
      <c r="X43" s="205"/>
      <c r="Y43" s="205"/>
      <c r="Z43" s="205"/>
      <c r="AA43" s="205"/>
      <c r="AB43" s="205"/>
      <c r="AC43" s="205"/>
    </row>
    <row r="44" spans="1:29">
      <c r="A44" s="205" t="s">
        <v>5968</v>
      </c>
      <c r="B44" s="293" t="s">
        <v>5969</v>
      </c>
      <c r="C44" s="205">
        <f t="shared" si="4"/>
        <v>68500000</v>
      </c>
      <c r="D44" s="205" t="s">
        <v>5861</v>
      </c>
      <c r="E44" s="205" t="s">
        <v>5970</v>
      </c>
      <c r="F44" s="205" t="s">
        <v>5971</v>
      </c>
      <c r="G44" s="205" t="s">
        <v>5972</v>
      </c>
      <c r="H44" s="205"/>
      <c r="I44" s="205"/>
      <c r="J44" s="205"/>
      <c r="K44" s="205"/>
      <c r="L44" s="205"/>
      <c r="M44" s="205"/>
      <c r="N44" s="205"/>
      <c r="O44" s="205"/>
      <c r="P44" s="205"/>
      <c r="Q44" s="205"/>
      <c r="R44" s="205"/>
      <c r="S44" s="205"/>
      <c r="T44" s="205"/>
      <c r="U44" s="205"/>
      <c r="V44" s="205"/>
      <c r="W44" s="205"/>
      <c r="X44" s="205"/>
      <c r="Y44" s="205"/>
      <c r="Z44" s="205"/>
      <c r="AA44" s="205"/>
      <c r="AB44" s="205"/>
      <c r="AC44" s="205"/>
    </row>
    <row r="45" spans="1:29">
      <c r="A45" s="205" t="s">
        <v>6070</v>
      </c>
      <c r="B45" s="293" t="s">
        <v>6071</v>
      </c>
      <c r="C45" s="205">
        <f t="shared" si="4"/>
        <v>3000000</v>
      </c>
      <c r="D45" s="205" t="s">
        <v>5861</v>
      </c>
      <c r="E45" s="205" t="s">
        <v>5905</v>
      </c>
      <c r="F45" s="205" t="s">
        <v>6072</v>
      </c>
      <c r="G45" s="205" t="s">
        <v>6073</v>
      </c>
      <c r="H45" s="205"/>
      <c r="I45" s="205"/>
      <c r="J45" s="205"/>
      <c r="K45" s="205"/>
      <c r="L45" s="205"/>
      <c r="M45" s="205"/>
      <c r="N45" s="205"/>
      <c r="O45" s="205"/>
      <c r="P45" s="205"/>
      <c r="Q45" s="205"/>
      <c r="R45" s="205"/>
      <c r="S45" s="205"/>
      <c r="T45" s="205"/>
      <c r="U45" s="205"/>
      <c r="V45" s="205"/>
      <c r="W45" s="205"/>
      <c r="X45" s="205"/>
      <c r="Y45" s="205"/>
      <c r="Z45" s="205"/>
      <c r="AA45" s="205"/>
      <c r="AB45" s="205"/>
      <c r="AC45" s="205"/>
    </row>
    <row r="46" spans="1:29">
      <c r="A46" s="205" t="s">
        <v>6089</v>
      </c>
      <c r="B46" s="293" t="s">
        <v>6090</v>
      </c>
      <c r="C46" s="205">
        <f t="shared" si="4"/>
        <v>12400000</v>
      </c>
      <c r="D46" s="205" t="s">
        <v>5861</v>
      </c>
      <c r="E46" s="205" t="s">
        <v>6091</v>
      </c>
      <c r="F46" s="205" t="s">
        <v>6092</v>
      </c>
      <c r="G46" s="205" t="s">
        <v>6093</v>
      </c>
      <c r="H46" s="205"/>
      <c r="I46" s="205"/>
      <c r="J46" s="205"/>
      <c r="K46" s="205"/>
      <c r="L46" s="205"/>
      <c r="M46" s="205"/>
      <c r="N46" s="205"/>
      <c r="O46" s="205"/>
      <c r="P46" s="205"/>
      <c r="Q46" s="205"/>
      <c r="R46" s="205"/>
      <c r="S46" s="205"/>
      <c r="T46" s="205"/>
      <c r="U46" s="205"/>
      <c r="V46" s="205"/>
      <c r="W46" s="205"/>
      <c r="X46" s="205"/>
      <c r="Y46" s="205"/>
      <c r="Z46" s="205"/>
      <c r="AA46" s="205"/>
      <c r="AB46" s="205"/>
      <c r="AC46" s="205"/>
    </row>
    <row r="47" spans="1:29">
      <c r="A47" s="205" t="s">
        <v>6000</v>
      </c>
      <c r="B47" s="293" t="s">
        <v>6001</v>
      </c>
      <c r="C47" s="205">
        <f t="shared" si="4"/>
        <v>25000000</v>
      </c>
      <c r="D47" s="205" t="s">
        <v>5861</v>
      </c>
      <c r="E47" s="205" t="s">
        <v>5923</v>
      </c>
      <c r="F47" s="205" t="s">
        <v>6002</v>
      </c>
      <c r="G47" s="205" t="s">
        <v>6003</v>
      </c>
      <c r="H47" s="205"/>
      <c r="I47" s="205"/>
      <c r="J47" s="205"/>
      <c r="K47" s="205"/>
      <c r="L47" s="205"/>
      <c r="M47" s="205"/>
      <c r="N47" s="205"/>
      <c r="O47" s="205"/>
      <c r="P47" s="205"/>
      <c r="Q47" s="205"/>
      <c r="R47" s="205"/>
      <c r="S47" s="205"/>
      <c r="T47" s="205"/>
      <c r="U47" s="205"/>
      <c r="V47" s="205"/>
      <c r="W47" s="205"/>
      <c r="X47" s="205"/>
      <c r="Y47" s="205"/>
      <c r="Z47" s="205"/>
      <c r="AA47" s="205"/>
      <c r="AB47" s="205"/>
      <c r="AC47" s="205"/>
    </row>
    <row r="48" spans="1:29">
      <c r="A48" s="205" t="s">
        <v>6074</v>
      </c>
      <c r="B48" s="293" t="s">
        <v>6075</v>
      </c>
      <c r="C48" s="205">
        <f t="shared" si="4"/>
        <v>29000000</v>
      </c>
      <c r="D48" s="205" t="s">
        <v>5861</v>
      </c>
      <c r="E48" s="205" t="s">
        <v>6076</v>
      </c>
      <c r="F48" s="205" t="s">
        <v>6077</v>
      </c>
      <c r="G48" s="205" t="s">
        <v>6078</v>
      </c>
      <c r="H48" s="205"/>
      <c r="I48" s="205"/>
      <c r="J48" s="205"/>
      <c r="K48" s="205"/>
      <c r="L48" s="205"/>
      <c r="M48" s="205"/>
      <c r="N48" s="205"/>
      <c r="O48" s="205"/>
      <c r="P48" s="205"/>
      <c r="Q48" s="205"/>
      <c r="R48" s="205"/>
      <c r="S48" s="205"/>
      <c r="T48" s="205"/>
      <c r="U48" s="205"/>
      <c r="V48" s="205"/>
      <c r="W48" s="205"/>
      <c r="X48" s="205"/>
      <c r="Y48" s="205"/>
      <c r="Z48" s="205"/>
      <c r="AA48" s="205"/>
      <c r="AB48" s="205"/>
      <c r="AC48" s="205"/>
    </row>
    <row r="49" spans="1:29">
      <c r="A49" s="205" t="s">
        <v>6102</v>
      </c>
      <c r="B49" s="293" t="s">
        <v>6103</v>
      </c>
      <c r="C49" s="205">
        <f t="shared" si="4"/>
        <v>12691397</v>
      </c>
      <c r="D49" s="205" t="s">
        <v>5861</v>
      </c>
      <c r="E49" s="205" t="s">
        <v>6104</v>
      </c>
      <c r="F49" s="205" t="s">
        <v>6105</v>
      </c>
      <c r="G49" s="205" t="s">
        <v>6106</v>
      </c>
      <c r="H49" s="205"/>
      <c r="I49" s="205"/>
      <c r="J49" s="205"/>
      <c r="K49" s="205"/>
      <c r="L49" s="205"/>
      <c r="M49" s="205"/>
      <c r="N49" s="205"/>
      <c r="O49" s="205"/>
      <c r="P49" s="205"/>
      <c r="Q49" s="205"/>
      <c r="R49" s="205"/>
      <c r="S49" s="205"/>
      <c r="T49" s="205"/>
      <c r="U49" s="205"/>
      <c r="V49" s="205"/>
      <c r="W49" s="205"/>
      <c r="X49" s="205"/>
      <c r="Y49" s="205"/>
      <c r="Z49" s="205"/>
      <c r="AA49" s="205"/>
      <c r="AB49" s="205"/>
      <c r="AC49" s="205"/>
    </row>
    <row r="50" spans="1:29">
      <c r="A50" s="205" t="s">
        <v>6094</v>
      </c>
      <c r="B50" s="293" t="s">
        <v>6095</v>
      </c>
      <c r="C50" s="205">
        <f t="shared" si="4"/>
        <v>4639508</v>
      </c>
      <c r="D50" s="205" t="s">
        <v>5861</v>
      </c>
      <c r="E50" s="205" t="s">
        <v>6096</v>
      </c>
      <c r="F50" s="205" t="s">
        <v>6097</v>
      </c>
      <c r="G50" s="205" t="s">
        <v>6098</v>
      </c>
      <c r="H50" s="205"/>
      <c r="I50" s="205"/>
      <c r="J50" s="205"/>
      <c r="K50" s="205"/>
      <c r="L50" s="205"/>
      <c r="M50" s="205"/>
      <c r="N50" s="205"/>
      <c r="O50" s="205"/>
      <c r="P50" s="205"/>
      <c r="Q50" s="205"/>
      <c r="R50" s="205"/>
      <c r="S50" s="205"/>
      <c r="T50" s="205"/>
      <c r="U50" s="205"/>
      <c r="V50" s="205"/>
      <c r="W50" s="205"/>
      <c r="X50" s="205"/>
      <c r="Y50" s="205"/>
      <c r="Z50" s="205"/>
      <c r="AA50" s="205"/>
      <c r="AB50" s="205"/>
      <c r="AC50" s="205"/>
    </row>
    <row r="51" spans="1:29">
      <c r="A51" s="205" t="s">
        <v>6034</v>
      </c>
      <c r="B51" s="293" t="s">
        <v>6035</v>
      </c>
      <c r="C51" s="205">
        <f t="shared" si="4"/>
        <v>9242699</v>
      </c>
      <c r="D51" s="205" t="s">
        <v>5861</v>
      </c>
      <c r="E51" s="205" t="s">
        <v>6036</v>
      </c>
      <c r="F51" s="205" t="s">
        <v>6037</v>
      </c>
      <c r="G51" s="205" t="s">
        <v>6038</v>
      </c>
      <c r="H51" s="205"/>
      <c r="I51" s="205"/>
      <c r="J51" s="205"/>
      <c r="K51" s="205"/>
      <c r="L51" s="205"/>
      <c r="M51" s="205"/>
      <c r="N51" s="205"/>
      <c r="O51" s="205"/>
      <c r="P51" s="205"/>
      <c r="Q51" s="205"/>
      <c r="R51" s="205"/>
      <c r="S51" s="205"/>
      <c r="T51" s="205"/>
      <c r="U51" s="205"/>
      <c r="V51" s="205"/>
      <c r="W51" s="205"/>
      <c r="X51" s="205"/>
      <c r="Y51" s="205"/>
      <c r="Z51" s="205"/>
      <c r="AA51" s="205"/>
      <c r="AB51" s="205"/>
      <c r="AC51" s="205"/>
    </row>
    <row r="52" spans="1:29">
      <c r="A52" s="205" t="s">
        <v>6029</v>
      </c>
      <c r="B52" s="293" t="s">
        <v>6030</v>
      </c>
      <c r="C52" s="205">
        <f t="shared" si="4"/>
        <v>12000000</v>
      </c>
      <c r="D52" s="205" t="s">
        <v>5861</v>
      </c>
      <c r="E52" s="205" t="s">
        <v>6031</v>
      </c>
      <c r="F52" s="205" t="s">
        <v>6032</v>
      </c>
      <c r="G52" s="205" t="s">
        <v>6033</v>
      </c>
      <c r="H52" s="205"/>
      <c r="I52" s="205"/>
      <c r="J52" s="205"/>
      <c r="K52" s="205"/>
      <c r="L52" s="205"/>
      <c r="M52" s="205"/>
      <c r="N52" s="205"/>
      <c r="O52" s="205"/>
      <c r="P52" s="205"/>
      <c r="Q52" s="205"/>
      <c r="R52" s="205"/>
      <c r="S52" s="205"/>
      <c r="T52" s="205"/>
      <c r="U52" s="205"/>
      <c r="V52" s="205"/>
      <c r="W52" s="205"/>
      <c r="X52" s="205"/>
      <c r="Y52" s="205"/>
      <c r="Z52" s="205"/>
      <c r="AA52" s="205"/>
      <c r="AB52" s="205"/>
      <c r="AC52" s="205"/>
    </row>
    <row r="53" spans="1:29">
      <c r="A53" s="205" t="s">
        <v>6084</v>
      </c>
      <c r="B53" s="293" t="s">
        <v>6085</v>
      </c>
      <c r="C53" s="205">
        <f t="shared" si="4"/>
        <v>18333333</v>
      </c>
      <c r="D53" s="205" t="s">
        <v>5861</v>
      </c>
      <c r="E53" s="205" t="s">
        <v>6086</v>
      </c>
      <c r="F53" s="205" t="s">
        <v>6087</v>
      </c>
      <c r="G53" s="205" t="s">
        <v>6088</v>
      </c>
      <c r="H53" s="205"/>
      <c r="I53" s="205"/>
      <c r="J53" s="205"/>
      <c r="K53" s="205"/>
      <c r="L53" s="205"/>
      <c r="M53" s="205"/>
      <c r="N53" s="205"/>
      <c r="O53" s="205"/>
      <c r="P53" s="205"/>
      <c r="Q53" s="205"/>
      <c r="R53" s="205"/>
      <c r="S53" s="205"/>
      <c r="T53" s="205"/>
      <c r="U53" s="205"/>
      <c r="V53" s="205"/>
      <c r="W53" s="205"/>
      <c r="X53" s="205"/>
      <c r="Y53" s="205"/>
      <c r="Z53" s="205"/>
      <c r="AA53" s="205"/>
      <c r="AB53" s="205"/>
      <c r="AC53" s="205"/>
    </row>
    <row r="54" spans="1:29">
      <c r="A54" s="205" t="s">
        <v>6059</v>
      </c>
      <c r="B54" s="293" t="s">
        <v>6060</v>
      </c>
      <c r="C54" s="205">
        <f t="shared" si="4"/>
        <v>10686057</v>
      </c>
      <c r="D54" s="205" t="s">
        <v>6061</v>
      </c>
      <c r="E54" s="205" t="s">
        <v>6062</v>
      </c>
      <c r="F54" s="205" t="s">
        <v>6063</v>
      </c>
      <c r="G54" s="205" t="s">
        <v>6064</v>
      </c>
      <c r="H54" s="205"/>
      <c r="I54" s="205"/>
      <c r="J54" s="205"/>
      <c r="K54" s="205"/>
      <c r="L54" s="205"/>
      <c r="M54" s="205"/>
      <c r="N54" s="205"/>
      <c r="O54" s="205"/>
      <c r="P54" s="205"/>
      <c r="Q54" s="205"/>
      <c r="R54" s="205"/>
      <c r="S54" s="205"/>
      <c r="T54" s="205"/>
      <c r="U54" s="205"/>
      <c r="V54" s="205"/>
      <c r="W54" s="205"/>
      <c r="X54" s="205"/>
      <c r="Y54" s="205"/>
      <c r="Z54" s="205"/>
      <c r="AA54" s="205"/>
      <c r="AB54" s="205"/>
      <c r="AC54" s="205"/>
    </row>
    <row r="55" spans="1:29">
      <c r="A55" s="205" t="s">
        <v>6014</v>
      </c>
      <c r="B55" s="293" t="s">
        <v>6015</v>
      </c>
      <c r="C55" s="205">
        <f t="shared" si="4"/>
        <v>6210524</v>
      </c>
      <c r="D55" s="205" t="s">
        <v>5861</v>
      </c>
      <c r="E55" s="205" t="s">
        <v>6016</v>
      </c>
      <c r="F55" s="205" t="s">
        <v>6017</v>
      </c>
      <c r="G55" s="205" t="s">
        <v>6018</v>
      </c>
      <c r="H55" s="205"/>
      <c r="I55" s="205"/>
      <c r="J55" s="205"/>
      <c r="K55" s="205"/>
      <c r="L55" s="205"/>
      <c r="M55" s="205"/>
      <c r="N55" s="205"/>
      <c r="O55" s="205"/>
      <c r="P55" s="205"/>
      <c r="Q55" s="205"/>
      <c r="R55" s="205"/>
      <c r="S55" s="205"/>
      <c r="T55" s="205"/>
      <c r="U55" s="205"/>
      <c r="V55" s="205"/>
      <c r="W55" s="205"/>
      <c r="X55" s="205"/>
      <c r="Y55" s="205"/>
      <c r="Z55" s="205"/>
      <c r="AA55" s="205"/>
      <c r="AB55" s="205"/>
      <c r="AC55" s="205"/>
    </row>
    <row r="56" spans="1:29">
      <c r="A56" s="205" t="s">
        <v>6138</v>
      </c>
      <c r="B56" s="293" t="s">
        <v>6139</v>
      </c>
      <c r="C56" s="205">
        <f t="shared" si="4"/>
        <v>2660000</v>
      </c>
      <c r="D56" s="205" t="s">
        <v>5861</v>
      </c>
      <c r="E56" s="205" t="s">
        <v>6140</v>
      </c>
      <c r="F56" s="205" t="s">
        <v>6141</v>
      </c>
      <c r="G56" s="205" t="s">
        <v>6142</v>
      </c>
      <c r="H56" s="205"/>
      <c r="I56" s="205"/>
      <c r="J56" s="205"/>
      <c r="K56" s="205"/>
      <c r="L56" s="205"/>
      <c r="M56" s="205"/>
      <c r="N56" s="205"/>
      <c r="O56" s="205"/>
      <c r="P56" s="205"/>
      <c r="Q56" s="205"/>
      <c r="R56" s="205"/>
      <c r="S56" s="205"/>
      <c r="T56" s="205"/>
      <c r="U56" s="205"/>
      <c r="V56" s="205"/>
      <c r="W56" s="205"/>
      <c r="X56" s="205"/>
      <c r="Y56" s="205"/>
      <c r="Z56" s="205"/>
      <c r="AA56" s="205"/>
      <c r="AB56" s="205"/>
      <c r="AC56" s="205"/>
    </row>
    <row r="57" spans="1:29">
      <c r="A57" s="205" t="s">
        <v>6115</v>
      </c>
      <c r="B57" s="293" t="s">
        <v>6116</v>
      </c>
      <c r="C57" s="205">
        <f t="shared" si="4"/>
        <v>4333333</v>
      </c>
      <c r="D57" s="205" t="s">
        <v>5861</v>
      </c>
      <c r="E57" s="205" t="s">
        <v>6117</v>
      </c>
      <c r="F57" s="205" t="s">
        <v>6118</v>
      </c>
      <c r="G57" s="205" t="s">
        <v>6119</v>
      </c>
      <c r="H57" s="205"/>
      <c r="I57" s="205"/>
      <c r="J57" s="205"/>
      <c r="K57" s="205"/>
      <c r="L57" s="205"/>
      <c r="M57" s="205"/>
      <c r="N57" s="205"/>
      <c r="O57" s="205"/>
      <c r="P57" s="205"/>
      <c r="Q57" s="205"/>
      <c r="R57" s="205"/>
      <c r="S57" s="205"/>
      <c r="T57" s="205"/>
      <c r="U57" s="205"/>
      <c r="V57" s="205"/>
      <c r="W57" s="205"/>
      <c r="X57" s="205"/>
      <c r="Y57" s="205"/>
      <c r="Z57" s="205"/>
      <c r="AA57" s="205"/>
      <c r="AB57" s="205"/>
      <c r="AC57" s="205"/>
    </row>
    <row r="58" spans="1:29">
      <c r="A58" s="205" t="s">
        <v>6120</v>
      </c>
      <c r="B58" s="293" t="s">
        <v>6121</v>
      </c>
      <c r="C58" s="205">
        <f t="shared" si="4"/>
        <v>469533</v>
      </c>
      <c r="D58" s="205" t="s">
        <v>5861</v>
      </c>
      <c r="E58" s="205" t="s">
        <v>6122</v>
      </c>
      <c r="F58" s="205" t="s">
        <v>6123</v>
      </c>
      <c r="G58" s="205" t="s">
        <v>6124</v>
      </c>
      <c r="H58" s="205"/>
      <c r="I58" s="205"/>
      <c r="J58" s="205"/>
      <c r="K58" s="205"/>
      <c r="L58" s="205"/>
      <c r="M58" s="205"/>
      <c r="N58" s="205"/>
      <c r="O58" s="205"/>
      <c r="P58" s="205"/>
      <c r="Q58" s="205"/>
      <c r="R58" s="205"/>
      <c r="S58" s="205"/>
      <c r="T58" s="205"/>
      <c r="U58" s="205"/>
      <c r="V58" s="205"/>
      <c r="W58" s="205"/>
      <c r="X58" s="205"/>
      <c r="Y58" s="205"/>
      <c r="Z58" s="205"/>
      <c r="AA58" s="205"/>
      <c r="AB58" s="205"/>
      <c r="AC58" s="205"/>
    </row>
    <row r="59" spans="1:29">
      <c r="A59" s="205" t="s">
        <v>6165</v>
      </c>
      <c r="B59" s="293" t="s">
        <v>6164</v>
      </c>
      <c r="C59" s="205">
        <f t="shared" si="4"/>
        <v>5076558</v>
      </c>
      <c r="D59" s="205" t="s">
        <v>6166</v>
      </c>
      <c r="E59" s="205" t="s">
        <v>5861</v>
      </c>
      <c r="F59" s="205" t="s">
        <v>6105</v>
      </c>
      <c r="G59" s="205" t="s">
        <v>6167</v>
      </c>
      <c r="H59" s="205"/>
      <c r="I59" s="205"/>
      <c r="J59" s="205"/>
      <c r="K59" s="205"/>
      <c r="L59" s="205"/>
      <c r="M59" s="205"/>
      <c r="N59" s="205"/>
      <c r="O59" s="205"/>
      <c r="P59" s="205"/>
      <c r="Q59" s="205"/>
      <c r="R59" s="205"/>
      <c r="S59" s="205"/>
      <c r="T59" s="205"/>
      <c r="U59" s="205"/>
      <c r="V59" s="205"/>
      <c r="W59" s="205"/>
      <c r="X59" s="205"/>
      <c r="Y59" s="205"/>
      <c r="Z59" s="205"/>
      <c r="AA59" s="205"/>
      <c r="AB59" s="205"/>
      <c r="AC59" s="205"/>
    </row>
    <row r="60" spans="1:29">
      <c r="A60" s="205" t="s">
        <v>5855</v>
      </c>
      <c r="B60" s="293" t="s">
        <v>6107</v>
      </c>
      <c r="C60" s="205">
        <f t="shared" si="4"/>
        <v>1144000</v>
      </c>
      <c r="D60" s="205" t="s">
        <v>5861</v>
      </c>
      <c r="E60" s="205" t="s">
        <v>6108</v>
      </c>
      <c r="F60" s="205" t="s">
        <v>6109</v>
      </c>
      <c r="G60" s="205" t="s">
        <v>6110</v>
      </c>
      <c r="H60" s="205"/>
      <c r="I60" s="205"/>
      <c r="J60" s="205"/>
      <c r="K60" s="205"/>
      <c r="L60" s="205"/>
      <c r="M60" s="205"/>
      <c r="N60" s="205"/>
      <c r="O60" s="205"/>
      <c r="P60" s="205"/>
      <c r="Q60" s="205"/>
      <c r="R60" s="205"/>
      <c r="S60" s="205"/>
      <c r="T60" s="205"/>
      <c r="U60" s="205"/>
      <c r="V60" s="205"/>
      <c r="W60" s="205"/>
      <c r="X60" s="205"/>
      <c r="Y60" s="205"/>
      <c r="Z60" s="205"/>
      <c r="AA60" s="205"/>
      <c r="AB60" s="205"/>
      <c r="AC60" s="205"/>
    </row>
    <row r="61" spans="1:29">
      <c r="A61" s="205" t="s">
        <v>6079</v>
      </c>
      <c r="B61" s="293" t="s">
        <v>6080</v>
      </c>
      <c r="C61" s="205">
        <f t="shared" si="4"/>
        <v>2000000</v>
      </c>
      <c r="D61" s="205" t="s">
        <v>5861</v>
      </c>
      <c r="E61" s="205" t="s">
        <v>6081</v>
      </c>
      <c r="F61" s="205" t="s">
        <v>6082</v>
      </c>
      <c r="G61" s="205" t="s">
        <v>6083</v>
      </c>
      <c r="H61" s="205"/>
      <c r="I61" s="205"/>
      <c r="J61" s="205"/>
      <c r="K61" s="205"/>
      <c r="L61" s="205"/>
      <c r="M61" s="205"/>
      <c r="N61" s="205"/>
      <c r="O61" s="205"/>
      <c r="P61" s="205"/>
      <c r="Q61" s="205"/>
      <c r="R61" s="205"/>
      <c r="S61" s="205"/>
      <c r="T61" s="205"/>
      <c r="U61" s="205"/>
      <c r="V61" s="205"/>
      <c r="W61" s="205"/>
      <c r="X61" s="205"/>
      <c r="Y61" s="205"/>
      <c r="Z61" s="205"/>
      <c r="AA61" s="205"/>
      <c r="AB61" s="205"/>
      <c r="AC61" s="205"/>
    </row>
    <row r="62" spans="1:29">
      <c r="A62" s="205" t="s">
        <v>6129</v>
      </c>
      <c r="B62" s="293" t="s">
        <v>6130</v>
      </c>
      <c r="C62" s="205">
        <f t="shared" si="4"/>
        <v>1469425</v>
      </c>
      <c r="D62" s="205" t="s">
        <v>5861</v>
      </c>
      <c r="E62" s="205" t="s">
        <v>6131</v>
      </c>
      <c r="F62" s="205" t="s">
        <v>6132</v>
      </c>
      <c r="G62" s="205" t="s">
        <v>6133</v>
      </c>
      <c r="H62" s="205"/>
      <c r="I62" s="205"/>
      <c r="J62" s="205"/>
      <c r="K62" s="205"/>
      <c r="L62" s="205"/>
      <c r="M62" s="205"/>
      <c r="N62" s="205"/>
      <c r="O62" s="205"/>
      <c r="P62" s="205"/>
      <c r="Q62" s="205"/>
      <c r="R62" s="205"/>
      <c r="S62" s="205"/>
      <c r="T62" s="205"/>
      <c r="U62" s="205"/>
      <c r="V62" s="205"/>
      <c r="W62" s="205"/>
      <c r="X62" s="205"/>
      <c r="Y62" s="205"/>
      <c r="Z62" s="205"/>
      <c r="AA62" s="205"/>
      <c r="AB62" s="205"/>
      <c r="AC62" s="205"/>
    </row>
    <row r="63" spans="1:29">
      <c r="A63" s="205" t="s">
        <v>6125</v>
      </c>
      <c r="B63" s="293" t="s">
        <v>6126</v>
      </c>
      <c r="C63" s="205">
        <f t="shared" si="4"/>
        <v>1888175</v>
      </c>
      <c r="D63" s="205" t="s">
        <v>5861</v>
      </c>
      <c r="E63" s="205" t="s">
        <v>6127</v>
      </c>
      <c r="F63" s="205" t="s">
        <v>5923</v>
      </c>
      <c r="G63" s="205" t="s">
        <v>6128</v>
      </c>
      <c r="H63" s="205"/>
      <c r="I63" s="205"/>
      <c r="J63" s="205"/>
      <c r="K63" s="205"/>
      <c r="L63" s="205"/>
      <c r="M63" s="205"/>
      <c r="N63" s="205"/>
      <c r="O63" s="205"/>
      <c r="P63" s="205"/>
      <c r="Q63" s="205"/>
      <c r="R63" s="205"/>
      <c r="S63" s="205"/>
      <c r="T63" s="205"/>
      <c r="U63" s="205"/>
      <c r="V63" s="205"/>
      <c r="W63" s="205"/>
      <c r="X63" s="205"/>
      <c r="Y63" s="205"/>
      <c r="Z63" s="205"/>
      <c r="AA63" s="205"/>
      <c r="AB63" s="205"/>
      <c r="AC63" s="205"/>
    </row>
    <row r="64" spans="1:29">
      <c r="A64" s="205" t="s">
        <v>5852</v>
      </c>
      <c r="B64" s="293" t="s">
        <v>6099</v>
      </c>
      <c r="C64" s="205">
        <f t="shared" si="4"/>
        <v>15200000</v>
      </c>
      <c r="D64" s="205" t="s">
        <v>5861</v>
      </c>
      <c r="E64" s="205" t="s">
        <v>6100</v>
      </c>
      <c r="F64" s="205" t="s">
        <v>5941</v>
      </c>
      <c r="G64" s="205" t="s">
        <v>6101</v>
      </c>
      <c r="H64" s="205"/>
      <c r="I64" s="205"/>
      <c r="J64" s="205"/>
      <c r="K64" s="205"/>
      <c r="L64" s="205"/>
      <c r="M64" s="205"/>
      <c r="N64" s="205"/>
      <c r="O64" s="205"/>
      <c r="P64" s="205"/>
      <c r="Q64" s="205"/>
      <c r="R64" s="205"/>
      <c r="S64" s="205"/>
      <c r="T64" s="205"/>
      <c r="U64" s="205"/>
      <c r="V64" s="205"/>
      <c r="W64" s="205"/>
      <c r="X64" s="205"/>
      <c r="Y64" s="205"/>
      <c r="Z64" s="205"/>
      <c r="AA64" s="205"/>
      <c r="AB64" s="205"/>
      <c r="AC64" s="205"/>
    </row>
    <row r="65" spans="1:29">
      <c r="A65" s="205" t="s">
        <v>6143</v>
      </c>
      <c r="B65" s="293" t="s">
        <v>6144</v>
      </c>
      <c r="C65" s="205">
        <f t="shared" si="4"/>
        <v>364567</v>
      </c>
      <c r="D65" s="205" t="s">
        <v>5861</v>
      </c>
      <c r="E65" s="205" t="s">
        <v>6145</v>
      </c>
      <c r="F65" s="205" t="s">
        <v>6042</v>
      </c>
      <c r="G65" s="205" t="s">
        <v>6146</v>
      </c>
      <c r="H65" s="205"/>
      <c r="I65" s="205"/>
      <c r="J65" s="205"/>
      <c r="K65" s="205"/>
      <c r="L65" s="205"/>
      <c r="M65" s="205"/>
      <c r="N65" s="205"/>
      <c r="O65" s="205"/>
      <c r="P65" s="205"/>
      <c r="Q65" s="205"/>
      <c r="R65" s="205"/>
      <c r="S65" s="205"/>
      <c r="T65" s="205"/>
      <c r="U65" s="205"/>
      <c r="V65" s="205"/>
      <c r="W65" s="205"/>
      <c r="X65" s="205"/>
      <c r="Y65" s="205"/>
      <c r="Z65" s="205"/>
      <c r="AA65" s="205"/>
      <c r="AB65" s="205"/>
      <c r="AC65" s="205"/>
    </row>
    <row r="66" spans="1:29">
      <c r="A66" s="205" t="s">
        <v>6134</v>
      </c>
      <c r="B66" s="293" t="s">
        <v>6135</v>
      </c>
      <c r="C66" s="205">
        <f>D66+E66</f>
        <v>474991</v>
      </c>
      <c r="D66" s="205" t="s">
        <v>5861</v>
      </c>
      <c r="E66" s="205" t="s">
        <v>6136</v>
      </c>
      <c r="F66" s="205" t="s">
        <v>5984</v>
      </c>
      <c r="G66" s="205" t="s">
        <v>6137</v>
      </c>
      <c r="H66" s="205"/>
      <c r="I66" s="205"/>
      <c r="J66" s="205"/>
      <c r="K66" s="205"/>
      <c r="L66" s="205"/>
      <c r="M66" s="205"/>
      <c r="N66" s="205"/>
      <c r="O66" s="205"/>
      <c r="P66" s="205"/>
      <c r="Q66" s="205"/>
      <c r="R66" s="205"/>
      <c r="S66" s="205"/>
      <c r="T66" s="205"/>
      <c r="U66" s="205"/>
      <c r="V66" s="205"/>
      <c r="W66" s="205"/>
      <c r="X66" s="205"/>
      <c r="Y66" s="205"/>
      <c r="Z66" s="205"/>
      <c r="AA66" s="205"/>
      <c r="AB66" s="205"/>
      <c r="AC66" s="205"/>
    </row>
    <row r="67" spans="1:29">
      <c r="A67" s="205" t="s">
        <v>6152</v>
      </c>
      <c r="B67" s="293" t="s">
        <v>6153</v>
      </c>
      <c r="C67" s="205">
        <f>D67+E67</f>
        <v>35981</v>
      </c>
      <c r="D67" s="205" t="s">
        <v>5861</v>
      </c>
      <c r="E67" s="205" t="s">
        <v>6154</v>
      </c>
      <c r="F67" s="205" t="s">
        <v>6155</v>
      </c>
      <c r="G67" s="205" t="s">
        <v>6156</v>
      </c>
      <c r="H67" s="205"/>
      <c r="I67" s="205"/>
      <c r="J67" s="205"/>
      <c r="K67" s="205"/>
      <c r="L67" s="205"/>
      <c r="M67" s="205"/>
      <c r="N67" s="205"/>
      <c r="O67" s="205"/>
      <c r="P67" s="205"/>
      <c r="Q67" s="205"/>
      <c r="R67" s="205"/>
      <c r="S67" s="205"/>
      <c r="T67" s="205"/>
      <c r="U67" s="205"/>
      <c r="V67" s="205"/>
      <c r="W67" s="205"/>
      <c r="X67" s="205"/>
      <c r="Y67" s="205"/>
      <c r="Z67" s="205"/>
      <c r="AA67" s="205"/>
      <c r="AB67" s="205"/>
      <c r="AC67" s="205"/>
    </row>
    <row r="68" spans="1:29">
      <c r="A68" s="205" t="s">
        <v>6147</v>
      </c>
      <c r="B68" s="293" t="s">
        <v>6148</v>
      </c>
      <c r="C68" s="205">
        <f>D68+E68</f>
        <v>3000</v>
      </c>
      <c r="D68" s="205" t="s">
        <v>6149</v>
      </c>
      <c r="E68" s="205" t="s">
        <v>6150</v>
      </c>
      <c r="F68" s="205" t="s">
        <v>5941</v>
      </c>
      <c r="G68" s="205" t="s">
        <v>6151</v>
      </c>
      <c r="H68" s="205"/>
      <c r="I68" s="205"/>
      <c r="J68" s="205"/>
      <c r="K68" s="205"/>
      <c r="L68" s="205"/>
      <c r="M68" s="205"/>
      <c r="N68" s="205"/>
      <c r="O68" s="205"/>
      <c r="P68" s="205"/>
      <c r="Q68" s="205"/>
      <c r="R68" s="205"/>
      <c r="S68" s="205"/>
      <c r="T68" s="205"/>
      <c r="U68" s="205"/>
      <c r="V68" s="205"/>
      <c r="W68" s="205"/>
      <c r="X68" s="205"/>
      <c r="Y68" s="205"/>
      <c r="Z68" s="205"/>
      <c r="AA68" s="205"/>
      <c r="AB68" s="205"/>
      <c r="AC68" s="205"/>
    </row>
    <row r="69" spans="1:29">
      <c r="A69" s="205" t="s">
        <v>6157</v>
      </c>
      <c r="B69" s="293" t="s">
        <v>6158</v>
      </c>
      <c r="C69" s="205">
        <f>D69+E69</f>
        <v>2666</v>
      </c>
      <c r="D69" s="205" t="s">
        <v>5861</v>
      </c>
      <c r="E69" s="205" t="s">
        <v>6159</v>
      </c>
      <c r="F69" s="205" t="s">
        <v>5984</v>
      </c>
      <c r="G69" s="205" t="s">
        <v>6160</v>
      </c>
      <c r="H69" s="205"/>
      <c r="I69" s="205"/>
      <c r="J69" s="205"/>
      <c r="K69" s="205"/>
      <c r="L69" s="205"/>
      <c r="M69" s="205"/>
      <c r="N69" s="205"/>
      <c r="O69" s="205"/>
      <c r="P69" s="205"/>
      <c r="Q69" s="205"/>
      <c r="R69" s="205"/>
      <c r="S69" s="205"/>
      <c r="T69" s="205"/>
      <c r="U69" s="205"/>
      <c r="V69" s="205"/>
      <c r="W69" s="205"/>
      <c r="X69" s="205"/>
      <c r="Y69" s="205"/>
      <c r="Z69" s="205"/>
      <c r="AA69" s="205"/>
      <c r="AB69" s="205"/>
      <c r="AC69" s="205"/>
    </row>
    <row r="70" spans="1:29">
      <c r="A70" s="205" t="s">
        <v>6161</v>
      </c>
      <c r="B70" s="293" t="s">
        <v>5861</v>
      </c>
      <c r="C70" s="205">
        <f>D70+E70</f>
        <v>0</v>
      </c>
      <c r="D70" s="205" t="s">
        <v>6162</v>
      </c>
      <c r="E70" s="205" t="s">
        <v>5954</v>
      </c>
      <c r="F70" s="205" t="s">
        <v>5956</v>
      </c>
      <c r="G70" s="205" t="s">
        <v>6163</v>
      </c>
      <c r="H70" s="205"/>
      <c r="I70" s="205"/>
      <c r="J70" s="205"/>
      <c r="K70" s="205"/>
      <c r="L70" s="205"/>
      <c r="M70" s="205"/>
      <c r="N70" s="205"/>
      <c r="O70" s="205"/>
      <c r="P70" s="205"/>
      <c r="Q70" s="205"/>
      <c r="R70" s="205"/>
      <c r="S70" s="205"/>
      <c r="T70" s="205"/>
      <c r="U70" s="205"/>
      <c r="V70" s="205"/>
      <c r="W70" s="205"/>
      <c r="X70" s="205"/>
      <c r="Y70" s="205"/>
      <c r="Z70" s="205"/>
      <c r="AA70" s="205"/>
      <c r="AB70" s="205"/>
      <c r="AC70" s="205"/>
    </row>
    <row r="71" spans="1:29">
      <c r="A71" s="205" t="s">
        <v>6168</v>
      </c>
      <c r="B71" s="293" t="s">
        <v>5861</v>
      </c>
      <c r="C71" s="205"/>
      <c r="D71" s="205" t="s">
        <v>5861</v>
      </c>
      <c r="E71" s="205" t="s">
        <v>6169</v>
      </c>
      <c r="F71" s="205" t="s">
        <v>6170</v>
      </c>
      <c r="G71" s="205" t="s">
        <v>6171</v>
      </c>
      <c r="H71" s="205"/>
      <c r="I71" s="205"/>
      <c r="J71" s="205"/>
      <c r="K71" s="205"/>
      <c r="L71" s="205"/>
      <c r="M71" s="205"/>
      <c r="N71" s="205"/>
      <c r="O71" s="205"/>
      <c r="P71" s="205"/>
      <c r="Q71" s="205"/>
      <c r="R71" s="205"/>
      <c r="S71" s="205"/>
      <c r="T71" s="205"/>
      <c r="U71" s="205"/>
      <c r="V71" s="205"/>
      <c r="W71" s="205"/>
      <c r="X71" s="205"/>
      <c r="Y71" s="205"/>
      <c r="Z71" s="205"/>
      <c r="AA71" s="205"/>
      <c r="AB71" s="205"/>
      <c r="AC71" s="205"/>
    </row>
    <row r="72" spans="1:29">
      <c r="A72" s="205"/>
      <c r="B72" s="293">
        <f>SUM(B2:B70)</f>
        <v>232176627</v>
      </c>
      <c r="C72" s="292">
        <v>47269501</v>
      </c>
      <c r="D72" s="205" t="s">
        <v>4896</v>
      </c>
      <c r="E72" s="205"/>
      <c r="F72" s="205"/>
      <c r="G72" s="205"/>
      <c r="H72" s="205"/>
      <c r="I72" s="205"/>
      <c r="J72" s="205"/>
      <c r="K72" s="205"/>
      <c r="L72" s="205"/>
      <c r="M72" s="205"/>
      <c r="N72" s="205"/>
      <c r="O72" s="205"/>
      <c r="P72" s="205"/>
      <c r="Q72" s="205"/>
      <c r="R72" s="205"/>
      <c r="S72" s="205"/>
      <c r="T72" s="205"/>
      <c r="U72" s="205"/>
      <c r="V72" s="205"/>
      <c r="W72" s="205"/>
      <c r="X72" s="205"/>
      <c r="Y72" s="205"/>
      <c r="Z72" s="205"/>
      <c r="AA72" s="205"/>
      <c r="AB72" s="205"/>
      <c r="AC72" s="205"/>
    </row>
    <row r="73" spans="1:29">
      <c r="A73" s="205"/>
      <c r="B73" s="205"/>
      <c r="C73" s="205"/>
      <c r="D73" s="205"/>
      <c r="E73" s="205"/>
      <c r="F73" s="205"/>
      <c r="G73" s="205"/>
      <c r="H73" s="205"/>
      <c r="I73" s="205"/>
      <c r="J73" s="205"/>
      <c r="K73" s="205"/>
      <c r="L73" s="205"/>
      <c r="M73" s="205"/>
      <c r="N73" s="205"/>
      <c r="O73" s="205"/>
      <c r="P73" s="205"/>
      <c r="Q73" s="205"/>
      <c r="R73" s="205"/>
      <c r="S73" s="205"/>
      <c r="T73" s="205"/>
      <c r="U73" s="205"/>
      <c r="V73" s="205"/>
      <c r="W73" s="205"/>
      <c r="X73" s="205"/>
      <c r="Y73" s="205"/>
      <c r="Z73" s="205"/>
      <c r="AA73" s="205"/>
      <c r="AB73" s="205"/>
      <c r="AC73" s="205"/>
    </row>
    <row r="74" spans="1:29">
      <c r="A74" s="205"/>
      <c r="B74" s="205"/>
      <c r="C74" s="205"/>
      <c r="D74" s="205"/>
      <c r="E74" s="205"/>
      <c r="F74" s="205"/>
      <c r="G74" s="205"/>
      <c r="H74" s="205"/>
      <c r="I74" s="205"/>
      <c r="J74" s="205"/>
      <c r="K74" s="205"/>
      <c r="L74" s="205"/>
      <c r="M74" s="205"/>
      <c r="N74" s="205"/>
      <c r="O74" s="205"/>
      <c r="P74" s="205"/>
      <c r="Q74" s="205"/>
      <c r="R74" s="205"/>
      <c r="S74" s="205"/>
      <c r="T74" s="205"/>
      <c r="U74" s="205"/>
      <c r="V74" s="205"/>
      <c r="W74" s="205"/>
      <c r="X74" s="205"/>
      <c r="Y74" s="205"/>
      <c r="Z74" s="205"/>
      <c r="AA74" s="205"/>
      <c r="AB74" s="205"/>
      <c r="AC74" s="205"/>
    </row>
    <row r="75" spans="1:29">
      <c r="A75" s="205"/>
      <c r="B75" s="205"/>
      <c r="C75" s="205"/>
      <c r="D75" s="205"/>
      <c r="E75" s="205"/>
      <c r="F75" s="205"/>
      <c r="G75" s="205"/>
      <c r="H75" s="205"/>
      <c r="I75" s="205"/>
      <c r="J75" s="205"/>
      <c r="K75" s="205"/>
      <c r="L75" s="205"/>
      <c r="M75" s="205"/>
      <c r="N75" s="205"/>
      <c r="O75" s="205"/>
      <c r="P75" s="205"/>
      <c r="Q75" s="205"/>
      <c r="R75" s="205"/>
      <c r="S75" s="205"/>
      <c r="T75" s="205"/>
      <c r="U75" s="205"/>
      <c r="V75" s="205"/>
      <c r="W75" s="205"/>
      <c r="X75" s="205"/>
      <c r="Y75" s="205"/>
      <c r="Z75" s="205"/>
      <c r="AA75" s="205"/>
      <c r="AB75" s="205"/>
      <c r="AC75" s="205"/>
    </row>
    <row r="76" spans="1:29">
      <c r="A76" s="205"/>
      <c r="B76" s="205"/>
      <c r="C76" s="205"/>
      <c r="D76" s="205"/>
      <c r="E76" s="205"/>
      <c r="F76" s="205"/>
      <c r="G76" s="205"/>
      <c r="H76" s="205"/>
      <c r="I76" s="205"/>
      <c r="J76" s="205"/>
      <c r="K76" s="205"/>
      <c r="L76" s="205"/>
      <c r="M76" s="205"/>
      <c r="N76" s="205"/>
      <c r="O76" s="205"/>
      <c r="P76" s="205"/>
      <c r="Q76" s="205"/>
      <c r="R76" s="205"/>
      <c r="S76" s="205"/>
      <c r="T76" s="205"/>
      <c r="U76" s="205"/>
      <c r="V76" s="205"/>
      <c r="W76" s="205"/>
      <c r="X76" s="205"/>
      <c r="Y76" s="205"/>
      <c r="Z76" s="205"/>
      <c r="AA76" s="205"/>
      <c r="AB76" s="205"/>
      <c r="AC76" s="205"/>
    </row>
    <row r="77" spans="1:29">
      <c r="A77" s="205"/>
      <c r="B77" s="205"/>
      <c r="C77" s="205"/>
      <c r="D77" s="205"/>
      <c r="E77" s="205"/>
      <c r="F77" s="205"/>
      <c r="G77" s="205"/>
      <c r="H77" s="205"/>
      <c r="I77" s="205"/>
      <c r="J77" s="205"/>
      <c r="K77" s="205"/>
      <c r="L77" s="205"/>
      <c r="M77" s="205"/>
      <c r="N77" s="205"/>
      <c r="O77" s="205"/>
      <c r="P77" s="205"/>
      <c r="Q77" s="205"/>
      <c r="R77" s="205"/>
      <c r="S77" s="205"/>
      <c r="T77" s="205"/>
      <c r="U77" s="205"/>
      <c r="V77" s="205"/>
      <c r="W77" s="205"/>
      <c r="X77" s="205"/>
      <c r="Y77" s="205"/>
      <c r="Z77" s="205"/>
      <c r="AA77" s="205"/>
      <c r="AB77" s="205"/>
      <c r="AC77" s="205"/>
    </row>
    <row r="78" spans="1:29">
      <c r="A78" s="205"/>
      <c r="B78" s="205"/>
      <c r="C78" s="205"/>
      <c r="D78" s="205"/>
      <c r="E78" s="205"/>
      <c r="F78" s="205"/>
      <c r="G78" s="205"/>
      <c r="H78" s="205"/>
      <c r="I78" s="205"/>
      <c r="J78" s="205"/>
      <c r="K78" s="205"/>
      <c r="L78" s="205"/>
      <c r="M78" s="205"/>
      <c r="N78" s="205"/>
      <c r="O78" s="205"/>
      <c r="P78" s="205"/>
      <c r="Q78" s="205"/>
      <c r="R78" s="205"/>
      <c r="S78" s="205"/>
      <c r="T78" s="205"/>
      <c r="U78" s="205"/>
      <c r="V78" s="205"/>
      <c r="W78" s="205"/>
      <c r="X78" s="205"/>
      <c r="Y78" s="205"/>
      <c r="Z78" s="205"/>
      <c r="AA78" s="205"/>
      <c r="AB78" s="205"/>
      <c r="AC78" s="205"/>
    </row>
    <row r="79" spans="1:29">
      <c r="A79" s="205"/>
      <c r="B79" s="205"/>
      <c r="C79" s="205"/>
      <c r="D79" s="205"/>
      <c r="E79" s="205"/>
      <c r="F79" s="205"/>
      <c r="G79" s="205"/>
      <c r="H79" s="205"/>
      <c r="I79" s="205"/>
      <c r="J79" s="205"/>
      <c r="K79" s="205"/>
      <c r="L79" s="205"/>
      <c r="M79" s="205"/>
      <c r="N79" s="205"/>
      <c r="O79" s="205"/>
      <c r="P79" s="205"/>
      <c r="Q79" s="205"/>
      <c r="R79" s="205"/>
      <c r="S79" s="205"/>
      <c r="T79" s="205"/>
      <c r="U79" s="205"/>
      <c r="V79" s="205"/>
      <c r="W79" s="205"/>
      <c r="X79" s="205"/>
      <c r="Y79" s="205"/>
      <c r="Z79" s="205"/>
      <c r="AA79" s="205"/>
      <c r="AB79" s="205"/>
      <c r="AC79" s="205"/>
    </row>
    <row r="80" spans="1:29">
      <c r="A80" s="205"/>
      <c r="B80" s="205"/>
      <c r="C80" s="205"/>
      <c r="D80" s="205"/>
      <c r="E80" s="205"/>
      <c r="F80" s="205"/>
      <c r="G80" s="205"/>
      <c r="H80" s="205"/>
      <c r="I80" s="205"/>
      <c r="J80" s="205"/>
      <c r="K80" s="205"/>
      <c r="L80" s="205"/>
      <c r="M80" s="205"/>
      <c r="N80" s="205"/>
      <c r="O80" s="205"/>
      <c r="P80" s="205"/>
      <c r="Q80" s="205"/>
      <c r="R80" s="205"/>
      <c r="S80" s="205"/>
      <c r="T80" s="205"/>
      <c r="U80" s="205"/>
      <c r="V80" s="205"/>
      <c r="W80" s="205"/>
      <c r="X80" s="205"/>
      <c r="Y80" s="205"/>
      <c r="Z80" s="205"/>
      <c r="AA80" s="205"/>
      <c r="AB80" s="205"/>
      <c r="AC80" s="205"/>
    </row>
    <row r="81" spans="1:29">
      <c r="A81" s="205"/>
      <c r="B81" s="205"/>
      <c r="C81" s="205"/>
      <c r="D81" s="205"/>
      <c r="E81" s="205"/>
      <c r="F81" s="205"/>
      <c r="G81" s="205"/>
      <c r="H81" s="205"/>
      <c r="I81" s="205"/>
      <c r="J81" s="205"/>
      <c r="K81" s="205"/>
      <c r="L81" s="205"/>
      <c r="M81" s="205"/>
      <c r="N81" s="205"/>
      <c r="O81" s="205"/>
      <c r="P81" s="205"/>
      <c r="Q81" s="205"/>
      <c r="R81" s="205"/>
      <c r="S81" s="205"/>
      <c r="T81" s="205"/>
      <c r="U81" s="205"/>
      <c r="V81" s="205"/>
      <c r="W81" s="205"/>
      <c r="X81" s="205"/>
      <c r="Y81" s="205"/>
      <c r="Z81" s="205"/>
      <c r="AA81" s="205"/>
      <c r="AB81" s="205"/>
      <c r="AC81" s="205"/>
    </row>
    <row r="82" spans="1:29">
      <c r="A82" s="205"/>
      <c r="B82" s="205"/>
      <c r="C82" s="205"/>
      <c r="D82" s="205"/>
      <c r="E82" s="205"/>
      <c r="F82" s="205"/>
      <c r="G82" s="205"/>
      <c r="H82" s="205" t="s">
        <v>5848</v>
      </c>
      <c r="I82" s="205" t="s">
        <v>191</v>
      </c>
      <c r="J82" s="205" t="s">
        <v>6181</v>
      </c>
      <c r="K82" s="205"/>
      <c r="L82" s="205"/>
      <c r="M82" s="205"/>
      <c r="N82" s="205"/>
      <c r="O82" s="205"/>
      <c r="P82" s="205"/>
      <c r="Q82" s="205"/>
      <c r="R82" s="205"/>
      <c r="S82" s="205"/>
      <c r="T82" s="205"/>
      <c r="U82" s="205"/>
      <c r="V82" s="205"/>
      <c r="W82" s="205"/>
      <c r="X82" s="205"/>
      <c r="Y82" s="205"/>
      <c r="Z82" s="205"/>
      <c r="AA82" s="205"/>
      <c r="AB82" s="205"/>
      <c r="AC82" s="205"/>
    </row>
    <row r="83" spans="1:29">
      <c r="A83" s="205"/>
      <c r="B83" s="205"/>
      <c r="C83" s="205">
        <f>D83+E83</f>
        <v>0</v>
      </c>
      <c r="D83" s="205"/>
      <c r="E83" s="205"/>
      <c r="F83" s="205"/>
      <c r="G83" s="205"/>
      <c r="H83" s="205"/>
      <c r="I83" s="205"/>
      <c r="J83" s="205"/>
      <c r="K83" s="205"/>
      <c r="L83" s="205"/>
      <c r="M83" s="205"/>
      <c r="N83" s="205"/>
      <c r="O83" s="205"/>
      <c r="P83" s="205"/>
      <c r="Q83" s="205"/>
      <c r="R83" s="205"/>
      <c r="S83" s="205"/>
      <c r="T83" s="205"/>
      <c r="U83" s="205"/>
      <c r="V83" s="205"/>
      <c r="W83" s="205"/>
      <c r="X83" s="205"/>
      <c r="Y83" s="205"/>
      <c r="Z83" s="205"/>
      <c r="AA83" s="205"/>
      <c r="AB83" s="205"/>
      <c r="AC83" s="205"/>
    </row>
    <row r="84" spans="1:29">
      <c r="A84" s="205"/>
      <c r="B84" s="205"/>
      <c r="C84" s="205">
        <f>D84+E84</f>
        <v>0</v>
      </c>
      <c r="D84" s="205"/>
      <c r="E84" s="205"/>
      <c r="F84" s="205"/>
      <c r="G84" s="205"/>
      <c r="H84" s="205"/>
      <c r="I84" s="205"/>
      <c r="J84" s="205"/>
      <c r="K84" s="205"/>
      <c r="L84" s="205"/>
      <c r="M84" s="205"/>
      <c r="N84" s="205"/>
      <c r="O84" s="205"/>
      <c r="P84" s="205"/>
      <c r="Q84" s="205"/>
      <c r="R84" s="205"/>
      <c r="S84" s="205"/>
      <c r="T84" s="205"/>
      <c r="U84" s="205"/>
      <c r="V84" s="205"/>
      <c r="W84" s="205"/>
      <c r="X84" s="205"/>
      <c r="Y84" s="205"/>
      <c r="Z84" s="205"/>
      <c r="AA84" s="205"/>
      <c r="AB84" s="205"/>
      <c r="AC84" s="205"/>
    </row>
    <row r="85" spans="1:29">
      <c r="A85" s="205"/>
      <c r="B85" s="205"/>
      <c r="C85" s="205"/>
      <c r="D85" s="205"/>
      <c r="E85" s="205"/>
      <c r="F85" s="205"/>
      <c r="G85" s="205"/>
      <c r="H85" s="205"/>
      <c r="I85" s="205"/>
      <c r="J85" s="205"/>
      <c r="K85" s="205"/>
      <c r="L85" s="205"/>
      <c r="M85" s="205"/>
      <c r="N85" s="205"/>
      <c r="O85" s="205"/>
      <c r="P85" s="205"/>
      <c r="Q85" s="205"/>
      <c r="R85" s="205"/>
      <c r="S85" s="205"/>
      <c r="T85" s="205"/>
      <c r="U85" s="205"/>
      <c r="V85" s="205"/>
      <c r="W85" s="205"/>
      <c r="X85" s="205"/>
      <c r="Y85" s="205"/>
      <c r="Z85" s="205"/>
      <c r="AA85" s="205"/>
      <c r="AB85" s="205"/>
      <c r="AC85" s="205"/>
    </row>
    <row r="86" spans="1:29">
      <c r="A86" s="205"/>
      <c r="B86" s="205"/>
      <c r="C86" s="205"/>
      <c r="D86" s="205" t="s">
        <v>25</v>
      </c>
      <c r="E86" s="205"/>
      <c r="F86" s="205"/>
      <c r="G86" s="205"/>
      <c r="H86" s="205"/>
      <c r="I86" s="205"/>
      <c r="J86" s="205"/>
      <c r="K86" s="205"/>
      <c r="L86" s="205"/>
      <c r="M86" s="205"/>
      <c r="N86" s="205"/>
      <c r="O86" s="205"/>
      <c r="P86" s="205"/>
      <c r="Q86" s="205"/>
      <c r="R86" s="205"/>
      <c r="S86" s="205"/>
      <c r="T86" s="205"/>
      <c r="U86" s="205"/>
      <c r="V86" s="205"/>
      <c r="W86" s="205"/>
      <c r="X86" s="205"/>
      <c r="Y86" s="205"/>
      <c r="Z86" s="205"/>
      <c r="AA86" s="205"/>
      <c r="AB86" s="205"/>
      <c r="AC86" s="205"/>
    </row>
    <row r="87" spans="1:29">
      <c r="A87" s="205"/>
      <c r="B87" s="205"/>
      <c r="C87" s="205"/>
      <c r="D87" s="205"/>
      <c r="E87" s="205"/>
      <c r="F87" s="205"/>
      <c r="G87" s="205"/>
      <c r="H87" s="205"/>
      <c r="I87" s="205"/>
      <c r="J87" s="205"/>
      <c r="K87" s="205"/>
      <c r="L87" s="205"/>
      <c r="M87" s="205"/>
      <c r="N87" s="205"/>
      <c r="O87" s="205"/>
      <c r="P87" s="205"/>
      <c r="Q87" s="205"/>
      <c r="R87" s="205"/>
      <c r="S87" s="205"/>
      <c r="T87" s="205"/>
      <c r="U87" s="205"/>
      <c r="V87" s="205"/>
      <c r="W87" s="205"/>
      <c r="X87" s="205"/>
      <c r="Y87" s="205"/>
      <c r="Z87" s="205"/>
      <c r="AA87" s="205"/>
      <c r="AB87" s="205"/>
      <c r="AC87" s="205"/>
    </row>
    <row r="88" spans="1:29">
      <c r="A88" s="205"/>
      <c r="B88" s="205"/>
      <c r="C88" s="205"/>
      <c r="D88" s="205"/>
      <c r="E88" s="205"/>
      <c r="F88" s="205"/>
      <c r="G88" s="205"/>
      <c r="H88" s="205"/>
      <c r="I88" s="205"/>
      <c r="J88" s="205"/>
      <c r="K88" s="205"/>
      <c r="L88" s="205"/>
      <c r="M88" s="205"/>
      <c r="N88" s="205"/>
      <c r="O88" s="205"/>
      <c r="P88" s="205"/>
      <c r="Q88" s="205"/>
      <c r="R88" s="205"/>
      <c r="S88" s="205"/>
      <c r="T88" s="205"/>
      <c r="U88" s="205"/>
      <c r="V88" s="205"/>
      <c r="W88" s="205"/>
      <c r="X88" s="205"/>
      <c r="Y88" s="205"/>
      <c r="Z88" s="205"/>
      <c r="AA88" s="205"/>
      <c r="AB88" s="205"/>
      <c r="AC88" s="205"/>
    </row>
    <row r="89" spans="1:29">
      <c r="A89" s="205"/>
      <c r="B89" s="205"/>
      <c r="C89" s="205"/>
      <c r="D89" s="205"/>
      <c r="E89" s="205"/>
      <c r="F89" s="205"/>
      <c r="G89" s="205"/>
      <c r="H89" s="205"/>
      <c r="I89" s="205"/>
      <c r="J89" s="205"/>
      <c r="K89" s="205"/>
      <c r="L89" s="205"/>
      <c r="M89" s="205"/>
      <c r="N89" s="205"/>
      <c r="O89" s="205"/>
      <c r="P89" s="205"/>
      <c r="Q89" s="205"/>
      <c r="R89" s="205"/>
      <c r="S89" s="205"/>
      <c r="T89" s="205"/>
      <c r="U89" s="205"/>
      <c r="V89" s="205"/>
      <c r="W89" s="205"/>
      <c r="X89" s="205"/>
      <c r="Y89" s="205"/>
      <c r="Z89" s="205"/>
      <c r="AA89" s="205"/>
      <c r="AB89" s="205"/>
      <c r="AC89" s="205"/>
    </row>
    <row r="90" spans="1:29">
      <c r="A90" s="205"/>
      <c r="B90" s="205"/>
      <c r="C90" s="205"/>
      <c r="D90" s="205"/>
      <c r="E90" s="205"/>
      <c r="F90" s="205"/>
      <c r="G90" s="205"/>
      <c r="H90" s="205"/>
      <c r="I90" s="205"/>
      <c r="J90" s="205"/>
      <c r="K90" s="205"/>
      <c r="L90" s="205"/>
      <c r="M90" s="205"/>
      <c r="N90" s="205"/>
      <c r="O90" s="205"/>
      <c r="P90" s="205"/>
      <c r="Q90" s="205"/>
      <c r="R90" s="205"/>
      <c r="S90" s="205"/>
      <c r="T90" s="205"/>
      <c r="U90" s="205"/>
      <c r="V90" s="205"/>
      <c r="W90" s="205"/>
      <c r="X90" s="205"/>
      <c r="Y90" s="205"/>
      <c r="Z90" s="205"/>
      <c r="AA90" s="205"/>
      <c r="AB90" s="205"/>
      <c r="AC90" s="205"/>
    </row>
  </sheetData>
  <sortState ref="A1:J90">
    <sortCondition descending="1" ref="B1:B90"/>
  </sortState>
  <pageMargins left="0.7" right="0.7" top="0.75" bottom="0.75" header="0.3" footer="0.3"/>
  <pageSetup orientation="portrait" horizontalDpi="1200" verticalDpi="1200"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4637</v>
      </c>
      <c r="C1" s="97" t="s">
        <v>3917</v>
      </c>
      <c r="D1" s="97" t="s">
        <v>8</v>
      </c>
      <c r="E1" s="94"/>
      <c r="F1" s="94"/>
      <c r="G1" s="94"/>
    </row>
    <row r="2" spans="1:7">
      <c r="A2" s="97" t="s">
        <v>4628</v>
      </c>
      <c r="B2" s="93">
        <v>10300</v>
      </c>
      <c r="C2" s="93">
        <v>0</v>
      </c>
      <c r="D2" s="97" t="s">
        <v>4638</v>
      </c>
      <c r="E2" s="94"/>
      <c r="F2" s="94"/>
      <c r="G2" s="94"/>
    </row>
    <row r="3" spans="1:7">
      <c r="A3" s="97" t="s">
        <v>4628</v>
      </c>
      <c r="B3" s="93">
        <v>0</v>
      </c>
      <c r="C3" s="93">
        <v>5500</v>
      </c>
      <c r="D3" s="97" t="s">
        <v>4639</v>
      </c>
      <c r="E3" s="94"/>
      <c r="F3" s="94"/>
      <c r="G3" s="94"/>
    </row>
    <row r="4" spans="1:7">
      <c r="A4" s="97" t="s">
        <v>3666</v>
      </c>
      <c r="B4" s="93">
        <v>0</v>
      </c>
      <c r="C4" s="93">
        <v>1000</v>
      </c>
      <c r="D4" s="97" t="s">
        <v>315</v>
      </c>
      <c r="E4" s="94"/>
      <c r="F4" s="94"/>
      <c r="G4" s="94"/>
    </row>
    <row r="5" spans="1:7">
      <c r="A5" s="97" t="s">
        <v>4643</v>
      </c>
      <c r="B5" s="93">
        <v>0</v>
      </c>
      <c r="C5" s="93">
        <v>1000</v>
      </c>
      <c r="D5" s="97" t="s">
        <v>315</v>
      </c>
      <c r="E5" s="94"/>
      <c r="F5" s="94"/>
      <c r="G5" s="94"/>
    </row>
    <row r="6" spans="1:7">
      <c r="A6" s="97" t="s">
        <v>4653</v>
      </c>
      <c r="B6" s="93">
        <v>0</v>
      </c>
      <c r="C6" s="93">
        <v>3000</v>
      </c>
      <c r="D6" s="97" t="s">
        <v>4657</v>
      </c>
      <c r="E6" s="94"/>
      <c r="F6" s="94"/>
      <c r="G6" s="94"/>
    </row>
    <row r="7" spans="1:7">
      <c r="A7" s="97" t="s">
        <v>4653</v>
      </c>
      <c r="B7" s="93">
        <v>9200</v>
      </c>
      <c r="C7" s="93">
        <v>0</v>
      </c>
      <c r="D7" s="97" t="s">
        <v>4638</v>
      </c>
      <c r="E7" s="94"/>
      <c r="F7" s="94"/>
      <c r="G7" s="94"/>
    </row>
    <row r="8" spans="1:7">
      <c r="A8" s="97" t="s">
        <v>4655</v>
      </c>
      <c r="B8" s="93">
        <v>0</v>
      </c>
      <c r="C8" s="93">
        <v>1000</v>
      </c>
      <c r="D8" s="97" t="s">
        <v>315</v>
      </c>
      <c r="E8" s="94"/>
      <c r="F8" s="94"/>
      <c r="G8" s="94"/>
    </row>
    <row r="9" spans="1:7">
      <c r="A9" s="97" t="s">
        <v>4662</v>
      </c>
      <c r="B9" s="97">
        <v>0</v>
      </c>
      <c r="C9" s="97">
        <v>1000</v>
      </c>
      <c r="D9" s="97" t="s">
        <v>315</v>
      </c>
      <c r="E9" s="94"/>
      <c r="F9" s="94"/>
      <c r="G9" s="94"/>
    </row>
    <row r="10" spans="1:7">
      <c r="A10" s="97" t="s">
        <v>4662</v>
      </c>
      <c r="B10" s="93">
        <v>10200</v>
      </c>
      <c r="C10" s="93">
        <v>0</v>
      </c>
      <c r="D10" s="97" t="s">
        <v>4638</v>
      </c>
      <c r="E10" s="94"/>
      <c r="F10" s="94"/>
      <c r="G10" s="94"/>
    </row>
    <row r="11" spans="1:7">
      <c r="A11" s="97" t="s">
        <v>4674</v>
      </c>
      <c r="B11" s="93">
        <v>0</v>
      </c>
      <c r="C11" s="93">
        <v>1000</v>
      </c>
      <c r="D11" s="97" t="s">
        <v>315</v>
      </c>
      <c r="E11" s="94"/>
      <c r="F11" s="94"/>
      <c r="G11" s="94"/>
    </row>
    <row r="12" spans="1:7">
      <c r="A12" s="97" t="s">
        <v>4691</v>
      </c>
      <c r="B12" s="93">
        <v>0</v>
      </c>
      <c r="C12" s="93">
        <v>1000</v>
      </c>
      <c r="D12" s="97" t="s">
        <v>315</v>
      </c>
      <c r="E12" s="94"/>
      <c r="F12" s="94"/>
      <c r="G12" s="94"/>
    </row>
    <row r="13" spans="1:7">
      <c r="A13" s="97" t="s">
        <v>4692</v>
      </c>
      <c r="B13" s="93">
        <v>0</v>
      </c>
      <c r="C13" s="93">
        <v>1000</v>
      </c>
      <c r="D13" s="97" t="s">
        <v>315</v>
      </c>
      <c r="E13" s="94"/>
      <c r="F13" s="94"/>
      <c r="G13" s="94"/>
    </row>
    <row r="14" spans="1:7">
      <c r="A14" s="97" t="s">
        <v>4715</v>
      </c>
      <c r="B14" s="93">
        <v>0</v>
      </c>
      <c r="C14" s="93">
        <v>1000</v>
      </c>
      <c r="D14" s="97" t="s">
        <v>315</v>
      </c>
      <c r="E14" s="94"/>
      <c r="F14" s="94"/>
      <c r="G14" s="94"/>
    </row>
    <row r="15" spans="1:7">
      <c r="A15" s="97" t="s">
        <v>4701</v>
      </c>
      <c r="B15" s="93">
        <v>0</v>
      </c>
      <c r="C15" s="93">
        <v>1000</v>
      </c>
      <c r="D15" s="97" t="s">
        <v>315</v>
      </c>
      <c r="E15" s="94"/>
      <c r="F15" s="94"/>
      <c r="G15" s="94"/>
    </row>
    <row r="16" spans="1:7">
      <c r="A16" s="97" t="s">
        <v>957</v>
      </c>
      <c r="B16" s="93">
        <v>10200</v>
      </c>
      <c r="C16" s="93">
        <v>0</v>
      </c>
      <c r="D16" s="97" t="s">
        <v>4638</v>
      </c>
      <c r="E16" s="94"/>
      <c r="F16" s="94"/>
      <c r="G16" s="94"/>
    </row>
    <row r="17" spans="1:9">
      <c r="A17" s="97" t="s">
        <v>957</v>
      </c>
      <c r="B17" s="93">
        <v>0</v>
      </c>
      <c r="C17" s="93">
        <v>1500</v>
      </c>
      <c r="D17" s="97" t="s">
        <v>315</v>
      </c>
      <c r="E17" s="94"/>
      <c r="F17" s="94"/>
      <c r="G17" s="94"/>
    </row>
    <row r="18" spans="1:9">
      <c r="A18" s="97" t="s">
        <v>4720</v>
      </c>
      <c r="B18" s="93">
        <v>0</v>
      </c>
      <c r="C18" s="93">
        <v>1000</v>
      </c>
      <c r="D18" s="97" t="s">
        <v>315</v>
      </c>
      <c r="E18" s="94"/>
      <c r="F18" s="94"/>
      <c r="G18" s="94"/>
    </row>
    <row r="19" spans="1:9">
      <c r="A19" s="97" t="s">
        <v>4722</v>
      </c>
      <c r="B19" s="93">
        <v>0</v>
      </c>
      <c r="C19" s="93">
        <v>1000</v>
      </c>
      <c r="D19" s="97" t="s">
        <v>315</v>
      </c>
      <c r="E19" s="94"/>
      <c r="F19" s="94"/>
      <c r="G19" s="94"/>
    </row>
    <row r="20" spans="1:9">
      <c r="A20" s="97" t="s">
        <v>4724</v>
      </c>
      <c r="B20" s="93">
        <v>0</v>
      </c>
      <c r="C20" s="93">
        <v>1000</v>
      </c>
      <c r="D20" s="97" t="s">
        <v>315</v>
      </c>
      <c r="E20" s="94"/>
      <c r="F20" s="94"/>
      <c r="G20" s="94"/>
    </row>
    <row r="21" spans="1:9">
      <c r="A21" s="97" t="s">
        <v>4727</v>
      </c>
      <c r="B21" s="93">
        <v>0</v>
      </c>
      <c r="C21" s="93">
        <v>1000</v>
      </c>
      <c r="D21" s="97" t="s">
        <v>315</v>
      </c>
      <c r="E21" s="94"/>
      <c r="F21" s="94"/>
      <c r="G21" s="94"/>
    </row>
    <row r="22" spans="1:9">
      <c r="A22" s="97" t="s">
        <v>4727</v>
      </c>
      <c r="B22" s="93">
        <v>9600</v>
      </c>
      <c r="C22" s="93">
        <v>0</v>
      </c>
      <c r="D22" s="97" t="s">
        <v>4638</v>
      </c>
      <c r="E22" s="94"/>
      <c r="F22" s="94"/>
      <c r="G22" s="94"/>
      <c r="I22" t="s">
        <v>25</v>
      </c>
    </row>
    <row r="23" spans="1:9">
      <c r="A23" s="97" t="s">
        <v>4733</v>
      </c>
      <c r="B23" s="93">
        <v>0</v>
      </c>
      <c r="C23" s="93">
        <v>1000</v>
      </c>
      <c r="D23" s="97" t="s">
        <v>315</v>
      </c>
      <c r="E23" s="94"/>
      <c r="F23" s="94"/>
      <c r="G23" s="94"/>
    </row>
    <row r="24" spans="1:9">
      <c r="A24" s="97" t="s">
        <v>4738</v>
      </c>
      <c r="B24" s="93">
        <v>0</v>
      </c>
      <c r="C24" s="93">
        <v>1000</v>
      </c>
      <c r="D24" s="97" t="s">
        <v>315</v>
      </c>
      <c r="E24" s="94"/>
      <c r="F24" s="94"/>
      <c r="G24" s="94"/>
    </row>
    <row r="25" spans="1:9">
      <c r="A25" s="97" t="s">
        <v>4747</v>
      </c>
      <c r="B25" s="93">
        <v>0</v>
      </c>
      <c r="C25" s="93">
        <v>1000</v>
      </c>
      <c r="D25" s="97" t="s">
        <v>315</v>
      </c>
    </row>
    <row r="26" spans="1:9">
      <c r="A26" s="97" t="s">
        <v>4773</v>
      </c>
      <c r="B26" s="93">
        <v>0</v>
      </c>
      <c r="C26" s="93">
        <v>12000</v>
      </c>
      <c r="D26" s="97" t="s">
        <v>4780</v>
      </c>
    </row>
    <row r="27" spans="1:9">
      <c r="A27" s="97" t="s">
        <v>4774</v>
      </c>
      <c r="B27" s="93">
        <v>0</v>
      </c>
      <c r="C27" s="93">
        <v>1000</v>
      </c>
      <c r="D27" s="97" t="s">
        <v>315</v>
      </c>
    </row>
    <row r="28" spans="1:9">
      <c r="A28" s="97" t="s">
        <v>4781</v>
      </c>
      <c r="B28" s="93">
        <v>0</v>
      </c>
      <c r="C28" s="93">
        <v>1000</v>
      </c>
      <c r="D28" s="97" t="s">
        <v>315</v>
      </c>
    </row>
    <row r="29" spans="1:9">
      <c r="A29" s="97" t="s">
        <v>4782</v>
      </c>
      <c r="B29" s="93">
        <v>0</v>
      </c>
      <c r="C29" s="93">
        <v>1000</v>
      </c>
      <c r="D29" s="97" t="s">
        <v>315</v>
      </c>
    </row>
    <row r="30" spans="1:9">
      <c r="A30" s="97" t="s">
        <v>4783</v>
      </c>
      <c r="B30" s="93">
        <v>0</v>
      </c>
      <c r="C30" s="93">
        <v>5500</v>
      </c>
      <c r="D30" s="97" t="s">
        <v>4639</v>
      </c>
    </row>
    <row r="31" spans="1:9">
      <c r="A31" s="97" t="s">
        <v>4783</v>
      </c>
      <c r="B31" s="93">
        <v>11000</v>
      </c>
      <c r="C31" s="93">
        <v>0</v>
      </c>
      <c r="D31" s="97" t="s">
        <v>4638</v>
      </c>
    </row>
    <row r="32" spans="1:9">
      <c r="A32" s="97" t="s">
        <v>4791</v>
      </c>
      <c r="B32" s="93">
        <v>0</v>
      </c>
      <c r="C32" s="93">
        <v>1000</v>
      </c>
      <c r="D32" s="97" t="s">
        <v>315</v>
      </c>
      <c r="H32" t="s">
        <v>25</v>
      </c>
    </row>
    <row r="33" spans="1:10">
      <c r="A33" s="97" t="s">
        <v>4792</v>
      </c>
      <c r="B33" s="93">
        <v>0</v>
      </c>
      <c r="C33" s="93">
        <v>1000</v>
      </c>
      <c r="D33" s="97" t="s">
        <v>315</v>
      </c>
      <c r="H33" t="s">
        <v>25</v>
      </c>
    </row>
    <row r="34" spans="1:10">
      <c r="A34" s="97" t="s">
        <v>4794</v>
      </c>
      <c r="B34" s="93">
        <v>0</v>
      </c>
      <c r="C34" s="93">
        <v>1000</v>
      </c>
      <c r="D34" s="97" t="s">
        <v>315</v>
      </c>
    </row>
    <row r="35" spans="1:10">
      <c r="A35" s="97" t="s">
        <v>4795</v>
      </c>
      <c r="B35" s="93">
        <v>0</v>
      </c>
      <c r="C35" s="93">
        <v>1000</v>
      </c>
      <c r="D35" s="97" t="s">
        <v>315</v>
      </c>
      <c r="J35" t="s">
        <v>25</v>
      </c>
    </row>
    <row r="36" spans="1:10">
      <c r="A36" s="97" t="s">
        <v>4800</v>
      </c>
      <c r="B36" s="93">
        <v>1000</v>
      </c>
      <c r="C36" s="93">
        <v>0</v>
      </c>
      <c r="D36" s="97" t="s">
        <v>315</v>
      </c>
    </row>
    <row r="37" spans="1:10">
      <c r="A37" s="97" t="s">
        <v>4800</v>
      </c>
      <c r="B37" s="93">
        <v>0</v>
      </c>
      <c r="C37" s="93">
        <v>11200</v>
      </c>
      <c r="D37" s="97" t="s">
        <v>4638</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4655</v>
      </c>
      <c r="B48" s="213">
        <v>6700</v>
      </c>
      <c r="C48" s="213">
        <v>0</v>
      </c>
      <c r="D48" s="23" t="s">
        <v>4658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200"/>
  <sheetViews>
    <sheetView zoomScale="85" zoomScaleNormal="85" workbookViewId="0">
      <selection activeCell="E31" sqref="E31"/>
    </sheetView>
  </sheetViews>
  <sheetFormatPr defaultRowHeight="15"/>
  <cols>
    <col min="1" max="1" width="31.140625" customWidth="1"/>
    <col min="2" max="2" width="25.7109375" customWidth="1"/>
    <col min="3" max="3" width="25.140625" style="94" customWidth="1"/>
    <col min="4" max="4" width="22.7109375" style="94" customWidth="1"/>
    <col min="5" max="5" width="26.7109375" bestFit="1" customWidth="1"/>
    <col min="6" max="6" width="21.140625" customWidth="1"/>
    <col min="7" max="7" width="27.5703125" bestFit="1" customWidth="1"/>
    <col min="8" max="8" width="28.28515625" bestFit="1" customWidth="1"/>
    <col min="9" max="9" width="29.42578125" bestFit="1" customWidth="1"/>
    <col min="10" max="10" width="19.85546875"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23" t="s">
        <v>4822</v>
      </c>
      <c r="B1" s="323" t="s">
        <v>4823</v>
      </c>
      <c r="C1" s="340" t="s">
        <v>6409</v>
      </c>
      <c r="D1" s="323" t="s">
        <v>6410</v>
      </c>
      <c r="E1" s="340" t="s">
        <v>6411</v>
      </c>
      <c r="F1" s="323" t="s">
        <v>6398</v>
      </c>
      <c r="G1" s="323" t="s">
        <v>6928</v>
      </c>
      <c r="H1" s="323" t="s">
        <v>6412</v>
      </c>
      <c r="I1" s="323" t="s">
        <v>4245</v>
      </c>
      <c r="J1" s="323" t="s">
        <v>4907</v>
      </c>
      <c r="K1" s="322"/>
      <c r="L1" s="322"/>
      <c r="O1" t="s">
        <v>4825</v>
      </c>
      <c r="P1" t="s">
        <v>4827</v>
      </c>
      <c r="Q1" t="s">
        <v>4828</v>
      </c>
    </row>
    <row r="2" spans="1:24">
      <c r="A2" s="323" t="s">
        <v>4824</v>
      </c>
      <c r="B2" s="328">
        <v>1114343604</v>
      </c>
      <c r="C2" s="329">
        <f>'سهام بنیادی'!B2</f>
        <v>2037</v>
      </c>
      <c r="D2" s="329">
        <f>B2*C2/$M$2</f>
        <v>31.526637796500001</v>
      </c>
      <c r="E2" s="329">
        <f>'سهام بنیادی'!C2</f>
        <v>2000</v>
      </c>
      <c r="F2" s="329">
        <f>B2*E2/$M$2</f>
        <v>30.953989</v>
      </c>
      <c r="G2" s="329">
        <f>'سهام بنیادی'!D2</f>
        <v>3000</v>
      </c>
      <c r="H2" s="329">
        <f>B2*G2/$M$2</f>
        <v>46.430983500000004</v>
      </c>
      <c r="I2" s="329">
        <f>'سهام بنیادی'!E2</f>
        <v>17628</v>
      </c>
      <c r="J2" s="329">
        <f>B2*I2/$M$2</f>
        <v>272.82845904599998</v>
      </c>
      <c r="K2" s="322"/>
      <c r="L2" s="322"/>
      <c r="M2" s="324">
        <v>72000000000</v>
      </c>
      <c r="N2" s="324">
        <v>27416800780</v>
      </c>
      <c r="O2" s="324">
        <v>40500000000</v>
      </c>
    </row>
    <row r="3" spans="1:24">
      <c r="A3" s="330" t="s">
        <v>6228</v>
      </c>
      <c r="B3" s="229">
        <v>3217000000</v>
      </c>
      <c r="C3" s="332">
        <f>'سهام بنیادی'!B42</f>
        <v>141</v>
      </c>
      <c r="D3" s="332">
        <f>B3*C3/$M$2</f>
        <v>6.2999583333333335</v>
      </c>
      <c r="E3" s="332">
        <f>'سهام بنیادی'!C42</f>
        <v>125</v>
      </c>
      <c r="F3" s="332">
        <f>B3*E3/$M$2</f>
        <v>5.5850694444444446</v>
      </c>
      <c r="G3" s="332">
        <f>'سهام بنیادی'!D42</f>
        <v>160</v>
      </c>
      <c r="H3" s="332">
        <f>B3*G3/$M$2</f>
        <v>7.1488888888888891</v>
      </c>
      <c r="I3" s="332">
        <f>'سهام بنیادی'!E42</f>
        <v>1244</v>
      </c>
      <c r="J3" s="332">
        <f>B3*I3/$M$2</f>
        <v>55.582611111111113</v>
      </c>
      <c r="N3">
        <f>N2/O2</f>
        <v>0.67695804395061732</v>
      </c>
    </row>
    <row r="4" spans="1:24">
      <c r="A4" s="326"/>
      <c r="B4" s="326"/>
      <c r="C4" s="326"/>
      <c r="D4" s="327">
        <f>B4*C4/$M$2</f>
        <v>0</v>
      </c>
      <c r="E4" s="327"/>
      <c r="F4" s="327"/>
      <c r="G4" s="327"/>
      <c r="H4" s="327">
        <f>B4*G4/$M$2</f>
        <v>0</v>
      </c>
      <c r="I4" s="327"/>
      <c r="J4" s="327"/>
    </row>
    <row r="5" spans="1:24">
      <c r="A5" s="242" t="s">
        <v>4824</v>
      </c>
      <c r="B5" s="324">
        <v>1124128522</v>
      </c>
      <c r="C5" s="325">
        <f>'سهام بنیادی'!B2</f>
        <v>2037</v>
      </c>
      <c r="D5" s="325">
        <f>B5*C5*$N$3/$M$2</f>
        <v>21.529614459504433</v>
      </c>
      <c r="E5" s="325">
        <f>'سهام بنیادی'!C2</f>
        <v>2000</v>
      </c>
      <c r="F5" s="325">
        <f t="shared" ref="F5:F15" si="0">B5*E5*$N$3/$M$2</f>
        <v>21.138551261172736</v>
      </c>
      <c r="G5" s="325">
        <f>'سهام بنیادی'!D2</f>
        <v>3000</v>
      </c>
      <c r="H5" s="325">
        <f t="shared" ref="H5:H15" si="1">B5*G5*$N$3/$M$2</f>
        <v>31.707826891759101</v>
      </c>
      <c r="I5" s="325">
        <f>'سهام بنیادی'!E2</f>
        <v>17628</v>
      </c>
      <c r="J5" s="325">
        <f t="shared" ref="J5:J15" si="2">B5*I5*$N$3/$M$2</f>
        <v>186.31519081597648</v>
      </c>
      <c r="M5" s="94"/>
      <c r="N5" s="94"/>
      <c r="O5" s="94"/>
      <c r="P5" s="94"/>
      <c r="Q5" s="94"/>
      <c r="R5" s="94"/>
      <c r="S5" s="94"/>
      <c r="T5" s="94"/>
      <c r="U5" s="94"/>
    </row>
    <row r="6" spans="1:24">
      <c r="A6" s="242" t="s">
        <v>6369</v>
      </c>
      <c r="B6" s="324">
        <v>556303872</v>
      </c>
      <c r="C6" s="325">
        <f>'سهام بنیادی'!B15</f>
        <v>2017</v>
      </c>
      <c r="D6" s="325">
        <f t="shared" ref="D6:D13" si="3">B6*C6*$N$3/$M$2</f>
        <v>10.549873146390011</v>
      </c>
      <c r="E6" s="325">
        <f>'سهام بنیادی'!C15</f>
        <v>1413</v>
      </c>
      <c r="F6" s="325">
        <f t="shared" si="0"/>
        <v>7.3906647277387636</v>
      </c>
      <c r="G6" s="325">
        <f>'سهام بنیادی'!D15</f>
        <v>2200</v>
      </c>
      <c r="H6" s="325">
        <f t="shared" si="1"/>
        <v>11.507050531511167</v>
      </c>
      <c r="I6" s="325">
        <f>'سهام بنیادی'!E15</f>
        <v>12850</v>
      </c>
      <c r="J6" s="325">
        <f t="shared" si="2"/>
        <v>67.211636059053873</v>
      </c>
      <c r="K6">
        <f t="shared" ref="K6:K14" si="4">B5*C5/$O$2</f>
        <v>56.539501217629628</v>
      </c>
      <c r="L6" s="336">
        <f t="shared" ref="L6:L14" si="5">B5*E5/$O$2</f>
        <v>55.512519604938269</v>
      </c>
      <c r="M6" s="94">
        <f t="shared" ref="M6:M14" si="6">B5*G5/$O$2</f>
        <v>83.268779407407408</v>
      </c>
      <c r="N6" s="94"/>
      <c r="O6" s="94">
        <f t="shared" ref="O6:O14" si="7">B5*I5/$O$2</f>
        <v>489.28734779792592</v>
      </c>
      <c r="P6" s="94"/>
      <c r="Q6" s="94"/>
      <c r="R6" s="94"/>
      <c r="S6" s="94"/>
      <c r="T6" s="94"/>
      <c r="U6" s="94"/>
      <c r="V6" s="94"/>
      <c r="W6" s="94"/>
      <c r="X6" s="94"/>
    </row>
    <row r="7" spans="1:24">
      <c r="A7" s="242" t="s">
        <v>6368</v>
      </c>
      <c r="B7" s="324">
        <v>20487000000</v>
      </c>
      <c r="C7" s="325">
        <f>'سهام بنیادی'!B13</f>
        <v>100</v>
      </c>
      <c r="D7" s="325">
        <f t="shared" si="3"/>
        <v>19.262277008911521</v>
      </c>
      <c r="E7" s="325">
        <f>'سهام بنیادی'!C13</f>
        <v>82</v>
      </c>
      <c r="F7" s="325">
        <f t="shared" si="0"/>
        <v>15.795067147307448</v>
      </c>
      <c r="G7" s="325">
        <f>'سهام بنیادی'!D13</f>
        <v>140</v>
      </c>
      <c r="H7" s="325">
        <f t="shared" si="1"/>
        <v>26.967187812476134</v>
      </c>
      <c r="I7" s="325">
        <f>'سهام بنیادی'!E13</f>
        <v>776</v>
      </c>
      <c r="J7" s="325">
        <f t="shared" si="2"/>
        <v>149.47526958915344</v>
      </c>
      <c r="K7" s="94">
        <f t="shared" si="4"/>
        <v>27.705306415407406</v>
      </c>
      <c r="L7" s="336">
        <f t="shared" si="5"/>
        <v>19.408823978666668</v>
      </c>
      <c r="M7" s="94">
        <f t="shared" si="6"/>
        <v>30.218975762962963</v>
      </c>
      <c r="N7" s="94"/>
      <c r="O7" s="94">
        <f t="shared" si="7"/>
        <v>176.50629025185185</v>
      </c>
      <c r="P7" s="94"/>
      <c r="Q7" s="94"/>
      <c r="R7" s="94"/>
      <c r="S7" s="94"/>
      <c r="T7" s="94"/>
      <c r="U7" s="94"/>
      <c r="V7" s="94"/>
      <c r="W7" s="94"/>
      <c r="X7" s="94"/>
    </row>
    <row r="8" spans="1:24">
      <c r="A8" s="242" t="s">
        <v>4829</v>
      </c>
      <c r="B8" s="324">
        <v>4126766661</v>
      </c>
      <c r="C8" s="325">
        <f>'سهام بنیادی'!B3</f>
        <v>2100</v>
      </c>
      <c r="D8" s="325">
        <f t="shared" si="3"/>
        <v>81.481396694576091</v>
      </c>
      <c r="E8" s="325">
        <f>'سهام بنیادی'!C3</f>
        <v>1350</v>
      </c>
      <c r="F8" s="325">
        <f t="shared" si="0"/>
        <v>52.380897875084628</v>
      </c>
      <c r="G8" s="325">
        <f>'سهام بنیادی'!D3</f>
        <v>3600</v>
      </c>
      <c r="H8" s="325">
        <f t="shared" si="1"/>
        <v>139.68239433355899</v>
      </c>
      <c r="I8" s="325">
        <f>'سهام بنیادی'!E3</f>
        <v>15845</v>
      </c>
      <c r="J8" s="325">
        <f t="shared" si="2"/>
        <v>614.79653839312289</v>
      </c>
      <c r="K8" s="94">
        <f t="shared" si="4"/>
        <v>50.585185185185182</v>
      </c>
      <c r="L8" s="336">
        <f t="shared" si="5"/>
        <v>41.479851851851855</v>
      </c>
      <c r="M8" s="94">
        <f t="shared" si="6"/>
        <v>70.819259259259255</v>
      </c>
      <c r="N8" s="94"/>
      <c r="O8" s="94">
        <f t="shared" si="7"/>
        <v>392.54103703703703</v>
      </c>
      <c r="P8" s="94"/>
      <c r="Q8" s="94"/>
      <c r="R8" s="94"/>
      <c r="S8" s="94"/>
      <c r="T8" s="94"/>
      <c r="U8" s="94"/>
      <c r="V8" s="94"/>
      <c r="W8" s="94"/>
      <c r="X8" s="94"/>
    </row>
    <row r="9" spans="1:24">
      <c r="A9" s="242" t="s">
        <v>4830</v>
      </c>
      <c r="B9" s="324">
        <v>2693179034</v>
      </c>
      <c r="C9" s="325">
        <f>'سهام بنیادی'!B4</f>
        <v>608.1</v>
      </c>
      <c r="D9" s="325">
        <f t="shared" si="3"/>
        <v>15.398183293434476</v>
      </c>
      <c r="E9" s="325">
        <f>'سهام بنیادی'!C4</f>
        <v>122</v>
      </c>
      <c r="F9" s="325">
        <f t="shared" si="0"/>
        <v>3.0892589406331288</v>
      </c>
      <c r="G9" s="325">
        <f>'سهام بنیادی'!D4</f>
        <v>750</v>
      </c>
      <c r="H9" s="325">
        <f t="shared" si="1"/>
        <v>18.991345946515136</v>
      </c>
      <c r="I9" s="325">
        <f>'سهام بنیادی'!E4</f>
        <v>6259</v>
      </c>
      <c r="J9" s="325">
        <f t="shared" si="2"/>
        <v>158.48911237231766</v>
      </c>
      <c r="K9" s="94">
        <f t="shared" si="4"/>
        <v>213.98049353333334</v>
      </c>
      <c r="L9" s="336">
        <f t="shared" si="5"/>
        <v>137.55888870000001</v>
      </c>
      <c r="M9" s="94">
        <f t="shared" si="6"/>
        <v>366.82370320000001</v>
      </c>
      <c r="N9" s="94"/>
      <c r="O9" s="94">
        <f t="shared" si="7"/>
        <v>1614.5337714455557</v>
      </c>
      <c r="P9" s="94"/>
      <c r="Q9" s="94"/>
      <c r="R9" s="94"/>
      <c r="S9" s="94"/>
      <c r="T9" s="94"/>
      <c r="U9" s="94"/>
      <c r="V9" s="94"/>
    </row>
    <row r="10" spans="1:24">
      <c r="A10" s="242" t="s">
        <v>6370</v>
      </c>
      <c r="B10" s="324">
        <v>4953996962</v>
      </c>
      <c r="C10" s="325">
        <f>'سهام بنیادی'!B14</f>
        <v>556</v>
      </c>
      <c r="D10" s="325">
        <f t="shared" si="3"/>
        <v>25.897615830303451</v>
      </c>
      <c r="E10" s="325">
        <f>'سهام بنیادی'!C14</f>
        <v>417.5</v>
      </c>
      <c r="F10" s="325">
        <f t="shared" si="0"/>
        <v>19.446501095596563</v>
      </c>
      <c r="G10" s="325">
        <f>'سهام بنیادی'!D14</f>
        <v>600</v>
      </c>
      <c r="H10" s="325">
        <f t="shared" si="1"/>
        <v>27.947067442773506</v>
      </c>
      <c r="I10" s="325">
        <f>'سهام بنیادی'!E14</f>
        <v>3865</v>
      </c>
      <c r="J10" s="325">
        <f t="shared" si="2"/>
        <v>180.02569277719934</v>
      </c>
      <c r="K10" s="94">
        <f t="shared" si="4"/>
        <v>40.437584458651855</v>
      </c>
      <c r="L10" s="336">
        <f t="shared" si="5"/>
        <v>8.112786225876544</v>
      </c>
      <c r="M10" s="94">
        <f t="shared" si="6"/>
        <v>49.873685814814813</v>
      </c>
      <c r="N10" s="94"/>
      <c r="O10" s="94">
        <f t="shared" si="7"/>
        <v>416.2125326865679</v>
      </c>
      <c r="P10" s="94"/>
      <c r="Q10" s="94"/>
      <c r="R10" s="94"/>
      <c r="S10" s="94"/>
      <c r="T10" s="94"/>
      <c r="U10" s="94"/>
      <c r="V10" s="94"/>
    </row>
    <row r="11" spans="1:24">
      <c r="A11" s="242" t="s">
        <v>5482</v>
      </c>
      <c r="B11" s="324">
        <v>1636875595</v>
      </c>
      <c r="C11" s="325">
        <f>'سهام بنیادی'!B5</f>
        <v>352</v>
      </c>
      <c r="D11" s="325">
        <f t="shared" si="3"/>
        <v>5.417358715910547</v>
      </c>
      <c r="E11" s="325">
        <f>'سهام بنیادی'!C5</f>
        <v>110</v>
      </c>
      <c r="F11" s="325">
        <f t="shared" si="0"/>
        <v>1.692924598722046</v>
      </c>
      <c r="G11" s="325">
        <f>'سهام بنیادی'!D5</f>
        <v>650</v>
      </c>
      <c r="H11" s="325">
        <f t="shared" si="1"/>
        <v>10.003645356084817</v>
      </c>
      <c r="I11" s="325">
        <f>'سهام بنیادی'!E5</f>
        <v>5250</v>
      </c>
      <c r="J11" s="325">
        <f t="shared" si="2"/>
        <v>80.798674029915844</v>
      </c>
      <c r="K11" s="94">
        <f t="shared" si="4"/>
        <v>68.010427428938272</v>
      </c>
      <c r="L11" s="336">
        <f t="shared" si="5"/>
        <v>51.068981028024695</v>
      </c>
      <c r="M11" s="94">
        <f t="shared" si="6"/>
        <v>73.392547585185184</v>
      </c>
      <c r="N11" s="94"/>
      <c r="O11" s="94">
        <f t="shared" si="7"/>
        <v>472.77032736123459</v>
      </c>
      <c r="P11" s="94"/>
      <c r="Q11" s="94"/>
      <c r="R11" s="94"/>
      <c r="S11" s="94"/>
      <c r="T11" s="94"/>
      <c r="U11" s="94"/>
      <c r="V11" s="94"/>
    </row>
    <row r="12" spans="1:24">
      <c r="A12" s="242" t="s">
        <v>4358</v>
      </c>
      <c r="B12" s="324">
        <v>813683684</v>
      </c>
      <c r="C12" s="325">
        <f>'سهام بنیادی'!B6</f>
        <v>2412</v>
      </c>
      <c r="D12" s="325">
        <f t="shared" si="3"/>
        <v>18.45279545635827</v>
      </c>
      <c r="E12" s="325">
        <f>'سهام بنیادی'!C6</f>
        <v>2300</v>
      </c>
      <c r="F12" s="325">
        <f t="shared" si="0"/>
        <v>17.595949232845779</v>
      </c>
      <c r="G12" s="325">
        <f>'سهام بنیادی'!D6</f>
        <v>2400</v>
      </c>
      <c r="H12" s="325">
        <f t="shared" si="1"/>
        <v>18.360990503839073</v>
      </c>
      <c r="I12" s="325">
        <f>'سهام بنیادی'!E6</f>
        <v>18395</v>
      </c>
      <c r="J12" s="325">
        <f t="shared" si="2"/>
        <v>140.72934179921657</v>
      </c>
      <c r="K12" s="94">
        <f t="shared" si="4"/>
        <v>14.226671838024691</v>
      </c>
      <c r="L12" s="336">
        <f t="shared" si="5"/>
        <v>4.4458349493827161</v>
      </c>
      <c r="M12" s="94">
        <f t="shared" si="6"/>
        <v>26.27084288271605</v>
      </c>
      <c r="N12" s="94"/>
      <c r="O12" s="94">
        <f t="shared" si="7"/>
        <v>212.18757712962963</v>
      </c>
      <c r="P12" s="94"/>
      <c r="Q12" s="94"/>
      <c r="R12" s="94"/>
      <c r="S12" s="94"/>
      <c r="T12" s="94"/>
      <c r="U12" s="94"/>
      <c r="V12" s="94"/>
    </row>
    <row r="13" spans="1:24">
      <c r="A13" s="242" t="s">
        <v>4831</v>
      </c>
      <c r="B13" s="324">
        <v>236958025</v>
      </c>
      <c r="C13" s="325">
        <f>'سهام بنیادی'!B7</f>
        <v>803</v>
      </c>
      <c r="D13" s="325">
        <f t="shared" si="3"/>
        <v>1.7890242334059496</v>
      </c>
      <c r="E13" s="325">
        <f>'سهام بنیادی'!C7</f>
        <v>590</v>
      </c>
      <c r="F13" s="325">
        <f t="shared" si="0"/>
        <v>1.3144760868113454</v>
      </c>
      <c r="G13" s="325">
        <f>'سهام بنیادی'!D7</f>
        <v>2000</v>
      </c>
      <c r="H13" s="325">
        <f t="shared" si="1"/>
        <v>4.4558511417333744</v>
      </c>
      <c r="I13" s="325">
        <f>'سهام بنیادی'!E7</f>
        <v>10840</v>
      </c>
      <c r="J13" s="325">
        <f t="shared" si="2"/>
        <v>24.150713188194889</v>
      </c>
      <c r="K13" s="94">
        <f t="shared" si="4"/>
        <v>48.459383847111113</v>
      </c>
      <c r="L13" s="336">
        <f t="shared" si="5"/>
        <v>46.209196869135802</v>
      </c>
      <c r="M13" s="94">
        <f t="shared" si="6"/>
        <v>48.218292385185187</v>
      </c>
      <c r="N13" s="94"/>
      <c r="O13" s="94">
        <f t="shared" si="7"/>
        <v>369.57312017728395</v>
      </c>
      <c r="P13" s="94"/>
      <c r="Q13" s="94" t="s">
        <v>25</v>
      </c>
      <c r="R13" s="94"/>
      <c r="S13" s="94"/>
      <c r="T13" s="94"/>
      <c r="U13" s="94"/>
      <c r="V13" s="94"/>
    </row>
    <row r="14" spans="1:24">
      <c r="A14" s="326"/>
      <c r="B14" s="326"/>
      <c r="C14" s="326"/>
      <c r="D14" s="326"/>
      <c r="E14" s="326"/>
      <c r="F14" s="326"/>
      <c r="G14" s="327"/>
      <c r="H14" s="327"/>
      <c r="I14" s="327"/>
      <c r="J14" s="327"/>
      <c r="K14" s="94">
        <f t="shared" si="4"/>
        <v>4.6982047919753089</v>
      </c>
      <c r="L14" s="336">
        <f t="shared" si="5"/>
        <v>3.4519811049382718</v>
      </c>
      <c r="M14" s="94">
        <f t="shared" si="6"/>
        <v>11.701630864197531</v>
      </c>
      <c r="N14" s="94"/>
      <c r="O14" s="94">
        <f t="shared" si="7"/>
        <v>63.422839283950616</v>
      </c>
      <c r="P14" s="94"/>
      <c r="Q14" s="94"/>
      <c r="R14" s="94"/>
      <c r="S14" s="94"/>
      <c r="T14" s="94"/>
      <c r="U14" s="94"/>
      <c r="V14" s="94"/>
    </row>
    <row r="15" spans="1:24">
      <c r="A15" s="330" t="s">
        <v>6936</v>
      </c>
      <c r="B15" s="331">
        <v>13000000000</v>
      </c>
      <c r="C15" s="332">
        <f>D47</f>
        <v>328.39591789830769</v>
      </c>
      <c r="D15" s="332">
        <f>B15*C15*$N$3/$M$2</f>
        <v>40.139352178937173</v>
      </c>
      <c r="E15" s="332">
        <v>146</v>
      </c>
      <c r="F15" s="332">
        <f t="shared" si="0"/>
        <v>17.845366214142661</v>
      </c>
      <c r="G15" s="332">
        <f>H47</f>
        <v>412.91440266769234</v>
      </c>
      <c r="H15" s="332">
        <f t="shared" si="1"/>
        <v>50.469922813006399</v>
      </c>
      <c r="I15" s="332">
        <f>H47*11</f>
        <v>4542.0584293446154</v>
      </c>
      <c r="J15" s="332">
        <f t="shared" si="2"/>
        <v>555.16915094307046</v>
      </c>
      <c r="N15" s="94"/>
      <c r="O15" s="94"/>
      <c r="P15" s="94"/>
      <c r="Q15" s="94"/>
      <c r="R15" s="94"/>
      <c r="S15" s="94"/>
      <c r="T15" s="94"/>
      <c r="U15" s="94"/>
    </row>
    <row r="16" spans="1:24">
      <c r="A16" s="330"/>
      <c r="B16" s="331"/>
      <c r="C16" s="332"/>
      <c r="D16" s="332"/>
      <c r="E16" s="332"/>
      <c r="F16" s="332"/>
      <c r="G16" s="332"/>
      <c r="H16" s="332"/>
      <c r="I16" s="332"/>
      <c r="J16" s="332"/>
      <c r="N16" s="94"/>
      <c r="O16" s="94"/>
      <c r="P16" s="94"/>
      <c r="Q16" s="94" t="s">
        <v>25</v>
      </c>
      <c r="R16" s="94"/>
      <c r="S16" s="94"/>
      <c r="T16" s="94"/>
      <c r="U16" s="94"/>
    </row>
    <row r="17" spans="1:34">
      <c r="A17" s="170" t="s">
        <v>5812</v>
      </c>
      <c r="B17" s="170"/>
      <c r="C17" s="170"/>
      <c r="D17" s="333">
        <v>80</v>
      </c>
      <c r="E17" s="170"/>
      <c r="F17" s="333">
        <v>44</v>
      </c>
      <c r="G17" s="333"/>
      <c r="H17" s="333">
        <v>110</v>
      </c>
      <c r="I17" s="333" t="s">
        <v>5394</v>
      </c>
      <c r="J17" s="333">
        <v>370</v>
      </c>
      <c r="K17" s="94"/>
      <c r="L17" s="94" t="s">
        <v>25</v>
      </c>
      <c r="M17" s="94"/>
      <c r="N17" s="94"/>
      <c r="O17" s="94"/>
      <c r="P17" s="94"/>
      <c r="Q17" s="94"/>
      <c r="R17" s="94"/>
      <c r="S17" s="94"/>
      <c r="T17" s="94"/>
      <c r="U17" s="94"/>
      <c r="V17" s="94"/>
      <c r="W17" s="94"/>
      <c r="X17" s="94"/>
      <c r="Y17" s="94"/>
      <c r="Z17" s="94"/>
      <c r="AA17" s="94"/>
      <c r="AB17" s="94"/>
      <c r="AC17" s="94"/>
      <c r="AD17" s="94"/>
      <c r="AE17" s="94"/>
    </row>
    <row r="18" spans="1:34">
      <c r="A18" s="170"/>
      <c r="B18" s="170"/>
      <c r="C18" s="170"/>
      <c r="D18" s="170">
        <f>B18*C18*$N$3/$M$2</f>
        <v>0</v>
      </c>
      <c r="E18" s="170"/>
      <c r="F18" s="170"/>
      <c r="G18" s="170"/>
      <c r="H18" s="170"/>
      <c r="I18" s="333" t="s">
        <v>5592</v>
      </c>
      <c r="J18" s="333">
        <v>230</v>
      </c>
      <c r="K18" s="94"/>
      <c r="L18" s="94"/>
      <c r="M18" s="94"/>
      <c r="N18" s="94"/>
      <c r="O18" s="94"/>
      <c r="P18" s="94"/>
      <c r="Q18" s="94"/>
      <c r="R18" s="94"/>
      <c r="S18" s="94"/>
      <c r="T18" s="94"/>
      <c r="U18" s="94"/>
      <c r="V18" s="94"/>
      <c r="W18" s="94"/>
      <c r="X18" s="94"/>
      <c r="Y18" s="94"/>
      <c r="Z18" s="94"/>
      <c r="AA18" s="94"/>
      <c r="AB18" s="94"/>
      <c r="AC18" s="94"/>
      <c r="AD18" s="94"/>
    </row>
    <row r="19" spans="1:34">
      <c r="A19" s="170"/>
      <c r="B19" s="170"/>
      <c r="C19" s="170"/>
      <c r="D19" s="170">
        <f>B19*C19*$N$3/$M$2</f>
        <v>0</v>
      </c>
      <c r="E19" s="170"/>
      <c r="F19" s="170"/>
      <c r="G19" s="170"/>
      <c r="H19" s="170"/>
      <c r="I19" s="333" t="s">
        <v>5395</v>
      </c>
      <c r="J19" s="333">
        <v>140</v>
      </c>
      <c r="K19" s="94"/>
      <c r="L19" s="94"/>
      <c r="M19" s="94"/>
      <c r="N19" s="94"/>
      <c r="O19" s="94"/>
      <c r="P19" s="94"/>
      <c r="Q19" s="94"/>
      <c r="R19" s="94"/>
      <c r="S19" s="94"/>
      <c r="T19" s="94"/>
      <c r="U19" s="94"/>
      <c r="V19" s="94"/>
      <c r="W19" s="94"/>
      <c r="X19" s="94"/>
      <c r="Y19" s="94"/>
      <c r="Z19" s="94"/>
      <c r="AA19" s="94"/>
      <c r="AB19" s="94"/>
      <c r="AC19" s="94"/>
      <c r="AD19" s="94"/>
    </row>
    <row r="20" spans="1:34" ht="21">
      <c r="A20" s="256"/>
      <c r="B20" s="256"/>
      <c r="C20" s="256"/>
      <c r="D20" s="337">
        <f>SUM(D2:D19)</f>
        <v>357.74408714756521</v>
      </c>
      <c r="E20" s="338"/>
      <c r="F20" s="337">
        <f>F2+F3+F15+F17+SUM(F5:F13)*0.9</f>
        <v>224.24428652790829</v>
      </c>
      <c r="G20" s="256"/>
      <c r="H20" s="335">
        <f>SUM(H2:H19)</f>
        <v>503.6731551621466</v>
      </c>
      <c r="I20" s="334" t="s">
        <v>4433</v>
      </c>
      <c r="J20" s="335">
        <f>SUM(J2:J19)</f>
        <v>3225.5723901243327</v>
      </c>
      <c r="K20" s="94"/>
      <c r="L20" s="94"/>
      <c r="M20" s="94"/>
      <c r="N20" s="94"/>
      <c r="O20" s="94"/>
      <c r="P20" s="94"/>
      <c r="Q20" s="94"/>
      <c r="R20" s="94"/>
      <c r="S20" s="94"/>
      <c r="T20" s="94"/>
      <c r="U20" s="94"/>
      <c r="V20" s="94"/>
      <c r="W20" s="94"/>
      <c r="X20" s="94"/>
      <c r="Y20" s="94"/>
      <c r="Z20" s="94"/>
      <c r="AA20" s="94"/>
      <c r="AB20" s="94"/>
      <c r="AC20" s="94"/>
      <c r="AD20" s="94"/>
    </row>
    <row r="21" spans="1:34" ht="21">
      <c r="A21" s="256"/>
      <c r="B21" s="256"/>
      <c r="C21" s="256"/>
      <c r="D21" s="338" t="s">
        <v>6844</v>
      </c>
      <c r="E21" s="338"/>
      <c r="F21" s="338" t="s">
        <v>6397</v>
      </c>
      <c r="G21" s="256"/>
      <c r="H21" s="334" t="s">
        <v>6722</v>
      </c>
      <c r="I21" s="334" t="s">
        <v>5009</v>
      </c>
      <c r="J21" s="335">
        <v>1470</v>
      </c>
      <c r="K21" s="94"/>
      <c r="L21" s="94"/>
      <c r="M21" t="s">
        <v>25</v>
      </c>
      <c r="N21" s="94"/>
      <c r="O21" s="94"/>
      <c r="P21" s="94"/>
      <c r="Q21" s="94"/>
      <c r="R21" s="94"/>
      <c r="S21" s="94"/>
      <c r="T21" s="94"/>
      <c r="U21" s="94"/>
    </row>
    <row r="22" spans="1:34" ht="21">
      <c r="A22" s="256"/>
      <c r="B22" s="256"/>
      <c r="C22" s="256"/>
      <c r="D22" s="256"/>
      <c r="E22" s="256"/>
      <c r="F22" s="256"/>
      <c r="G22" s="256"/>
      <c r="H22" s="256"/>
      <c r="I22" s="334" t="s">
        <v>5010</v>
      </c>
      <c r="J22" s="334">
        <f>J21/J20</f>
        <v>0.45573306756365728</v>
      </c>
      <c r="K22" s="94"/>
      <c r="L22" s="94"/>
      <c r="N22" s="94"/>
      <c r="O22" s="94"/>
      <c r="P22" s="94"/>
      <c r="Q22" s="94"/>
      <c r="R22" s="94"/>
      <c r="S22" s="94"/>
      <c r="T22" s="94"/>
      <c r="U22" s="94"/>
    </row>
    <row r="23" spans="1:34">
      <c r="M23" t="s">
        <v>25</v>
      </c>
    </row>
    <row r="24" spans="1:34">
      <c r="A24" s="94"/>
      <c r="B24" s="94"/>
      <c r="E24" s="94"/>
      <c r="F24" s="94"/>
      <c r="G24" s="94"/>
      <c r="H24" s="94">
        <f>F2+F3+F17+(SUM(F5:F13)*0.8)</f>
        <v>192.41449121717437</v>
      </c>
      <c r="I24" s="94"/>
      <c r="J24" s="94"/>
      <c r="AD24" t="s">
        <v>25</v>
      </c>
    </row>
    <row r="25" spans="1:34">
      <c r="A25" s="256" t="s">
        <v>6227</v>
      </c>
      <c r="B25" s="256" t="s">
        <v>4823</v>
      </c>
      <c r="C25" s="256" t="s">
        <v>6221</v>
      </c>
      <c r="D25" s="256" t="s">
        <v>5511</v>
      </c>
      <c r="E25" s="256" t="s">
        <v>6220</v>
      </c>
      <c r="F25" s="256" t="s">
        <v>6230</v>
      </c>
      <c r="H25" s="94"/>
      <c r="I25" s="94"/>
      <c r="J25" s="94"/>
      <c r="L25" t="s">
        <v>25</v>
      </c>
      <c r="T25" t="s">
        <v>25</v>
      </c>
    </row>
    <row r="26" spans="1:34">
      <c r="A26" s="256" t="s">
        <v>6219</v>
      </c>
      <c r="B26" s="256">
        <v>880639000</v>
      </c>
      <c r="C26" s="256">
        <v>110</v>
      </c>
      <c r="D26" s="256">
        <f t="shared" ref="D26:D32" si="8">B26*C26/$M$2</f>
        <v>1.3454206944444445</v>
      </c>
      <c r="E26" s="256">
        <v>952</v>
      </c>
      <c r="F26" s="256">
        <f t="shared" ref="F26:F32" si="9">B26*E26/$M$2</f>
        <v>11.644004555555556</v>
      </c>
      <c r="H26" s="112">
        <f>SUM(F2:F17)</f>
        <v>238.22871562449956</v>
      </c>
      <c r="I26" s="94"/>
      <c r="J26" s="94"/>
      <c r="N26" t="s">
        <v>25</v>
      </c>
    </row>
    <row r="27" spans="1:34">
      <c r="A27" s="256" t="s">
        <v>6222</v>
      </c>
      <c r="B27" s="256">
        <v>1175000000</v>
      </c>
      <c r="C27" s="256">
        <v>30</v>
      </c>
      <c r="D27" s="256">
        <f t="shared" si="8"/>
        <v>0.48958333333333331</v>
      </c>
      <c r="E27" s="256">
        <v>628</v>
      </c>
      <c r="F27" s="256">
        <f t="shared" si="9"/>
        <v>10.248611111111112</v>
      </c>
      <c r="H27" s="94"/>
      <c r="I27" s="94"/>
      <c r="J27" s="94"/>
      <c r="K27" s="94"/>
      <c r="L27" s="94"/>
    </row>
    <row r="28" spans="1:34">
      <c r="A28" s="256" t="s">
        <v>6223</v>
      </c>
      <c r="B28" s="256">
        <v>1120000000</v>
      </c>
      <c r="C28" s="256">
        <v>100</v>
      </c>
      <c r="D28" s="256">
        <f t="shared" si="8"/>
        <v>1.5555555555555556</v>
      </c>
      <c r="E28" s="256">
        <v>893</v>
      </c>
      <c r="F28" s="256">
        <f t="shared" si="9"/>
        <v>13.891111111111112</v>
      </c>
      <c r="H28" s="94"/>
      <c r="I28" s="94"/>
      <c r="J28" s="94"/>
      <c r="K28" s="94"/>
      <c r="L28" s="94"/>
    </row>
    <row r="29" spans="1:34">
      <c r="A29" s="256" t="s">
        <v>6224</v>
      </c>
      <c r="B29" s="256">
        <v>468000000</v>
      </c>
      <c r="C29" s="256">
        <v>180</v>
      </c>
      <c r="D29" s="256">
        <f t="shared" si="8"/>
        <v>1.17</v>
      </c>
      <c r="E29" s="256">
        <v>4566</v>
      </c>
      <c r="F29" s="256">
        <f t="shared" si="9"/>
        <v>29.678999999999998</v>
      </c>
      <c r="H29" s="94"/>
      <c r="I29" s="94"/>
      <c r="J29" s="94"/>
      <c r="K29" s="94"/>
      <c r="L29" s="94"/>
    </row>
    <row r="30" spans="1:34">
      <c r="A30" s="256" t="s">
        <v>6225</v>
      </c>
      <c r="B30" s="256">
        <v>393000000</v>
      </c>
      <c r="C30" s="421">
        <v>185</v>
      </c>
      <c r="D30" s="256">
        <f>B30*C30/$M$2</f>
        <v>1.0097916666666666</v>
      </c>
      <c r="E30" s="256">
        <v>1573</v>
      </c>
      <c r="F30" s="256">
        <f t="shared" si="9"/>
        <v>8.585958333333334</v>
      </c>
      <c r="H30" s="94"/>
      <c r="I30" s="94" t="s">
        <v>25</v>
      </c>
      <c r="J30" s="94"/>
      <c r="K30" s="94"/>
      <c r="L30" s="94"/>
    </row>
    <row r="31" spans="1:34">
      <c r="A31" s="256" t="s">
        <v>6226</v>
      </c>
      <c r="B31" s="256">
        <v>4360000</v>
      </c>
      <c r="C31" s="256">
        <v>347</v>
      </c>
      <c r="D31" s="256">
        <f t="shared" si="8"/>
        <v>2.1012777777777776E-2</v>
      </c>
      <c r="E31" s="256">
        <v>11399</v>
      </c>
      <c r="F31" s="256">
        <f t="shared" si="9"/>
        <v>0.69027277777777774</v>
      </c>
      <c r="H31" s="94" t="s">
        <v>25</v>
      </c>
      <c r="I31" s="94"/>
      <c r="J31" s="94"/>
      <c r="K31" s="94"/>
      <c r="L31" s="94"/>
      <c r="U31" s="94"/>
      <c r="V31" s="94"/>
      <c r="W31" s="453"/>
      <c r="X31" s="453"/>
      <c r="Y31" s="453"/>
      <c r="Z31" s="453"/>
      <c r="AA31" s="453"/>
      <c r="AB31" s="453"/>
      <c r="AC31" s="453"/>
      <c r="AD31" s="453"/>
      <c r="AE31" s="453"/>
      <c r="AF31" s="453"/>
      <c r="AH31" t="s">
        <v>25</v>
      </c>
    </row>
    <row r="32" spans="1:34">
      <c r="A32" s="256" t="s">
        <v>6229</v>
      </c>
      <c r="B32" s="256">
        <v>1</v>
      </c>
      <c r="C32" s="256">
        <v>80000000000</v>
      </c>
      <c r="D32" s="256">
        <f t="shared" si="8"/>
        <v>1.1111111111111112</v>
      </c>
      <c r="E32" s="256">
        <v>703000000000</v>
      </c>
      <c r="F32" s="256">
        <f t="shared" si="9"/>
        <v>9.7638888888888893</v>
      </c>
      <c r="G32" s="94"/>
      <c r="H32" s="94"/>
      <c r="I32" s="94"/>
      <c r="J32" s="94"/>
      <c r="K32" s="94"/>
      <c r="L32" s="94"/>
      <c r="U32" s="94"/>
      <c r="V32" s="94"/>
      <c r="W32" s="453"/>
      <c r="X32" s="453"/>
      <c r="Y32" s="453"/>
      <c r="Z32" s="453"/>
      <c r="AA32" s="453"/>
      <c r="AB32" s="453"/>
      <c r="AC32" s="453"/>
      <c r="AD32" s="453"/>
      <c r="AE32" s="453"/>
      <c r="AF32" s="453"/>
    </row>
    <row r="33" spans="1:36">
      <c r="A33" s="256"/>
      <c r="B33" s="256"/>
      <c r="C33" s="256"/>
      <c r="D33" s="256"/>
      <c r="E33" s="256"/>
      <c r="F33" s="256"/>
      <c r="H33" s="94"/>
      <c r="I33" s="94"/>
      <c r="J33" s="94"/>
      <c r="K33" s="94"/>
      <c r="L33" s="94"/>
      <c r="U33" s="94"/>
      <c r="V33" s="94"/>
      <c r="W33" s="453"/>
      <c r="X33" s="453"/>
      <c r="Y33" s="453"/>
      <c r="Z33" s="453"/>
      <c r="AA33" s="453"/>
      <c r="AB33" s="453"/>
      <c r="AC33" s="453"/>
      <c r="AD33" s="453"/>
      <c r="AE33" s="453"/>
      <c r="AF33" s="453"/>
    </row>
    <row r="34" spans="1:36">
      <c r="A34" s="256"/>
      <c r="B34" s="256"/>
      <c r="C34" s="256"/>
      <c r="D34" s="256">
        <f>SUM(D26:D32)</f>
        <v>6.7024751388888895</v>
      </c>
      <c r="E34" s="256" t="s">
        <v>6</v>
      </c>
      <c r="F34" s="256">
        <f>SUM(F26:F32)</f>
        <v>84.502846777777776</v>
      </c>
      <c r="H34" s="94"/>
      <c r="I34" s="94"/>
      <c r="J34" s="94"/>
      <c r="K34" s="94"/>
      <c r="L34" s="94"/>
      <c r="U34" s="94"/>
      <c r="V34" s="94"/>
      <c r="W34" s="453"/>
      <c r="X34" s="453"/>
      <c r="Y34" s="453"/>
      <c r="Z34" s="453"/>
      <c r="AA34" s="453"/>
      <c r="AB34" s="453"/>
      <c r="AC34" s="453"/>
      <c r="AD34" s="453"/>
      <c r="AE34" s="453"/>
      <c r="AF34" s="453"/>
      <c r="AG34" t="s">
        <v>25</v>
      </c>
    </row>
    <row r="35" spans="1:36">
      <c r="A35" s="94"/>
      <c r="B35" s="94"/>
      <c r="E35" s="94"/>
      <c r="F35" s="94"/>
      <c r="H35" s="94"/>
      <c r="I35" s="94"/>
      <c r="J35" s="94"/>
      <c r="K35" s="94"/>
      <c r="L35" s="94"/>
      <c r="U35" s="94"/>
      <c r="V35" s="94"/>
      <c r="W35" s="453"/>
      <c r="X35" s="453"/>
      <c r="Y35" s="453"/>
      <c r="Z35" s="453"/>
      <c r="AA35" s="453"/>
      <c r="AB35" s="453"/>
      <c r="AC35" s="453"/>
      <c r="AD35" s="453"/>
      <c r="AE35" s="453"/>
      <c r="AF35" s="453"/>
    </row>
    <row r="36" spans="1:36">
      <c r="A36" s="453"/>
      <c r="B36" s="453"/>
      <c r="C36" s="453"/>
      <c r="D36" s="453"/>
      <c r="E36" s="453"/>
      <c r="F36" s="453"/>
      <c r="G36" s="453"/>
      <c r="H36" s="453"/>
      <c r="I36" s="453"/>
      <c r="J36" s="453"/>
      <c r="K36" s="94"/>
      <c r="L36" s="94"/>
      <c r="U36" s="94"/>
      <c r="V36" s="94"/>
      <c r="W36" s="453"/>
      <c r="X36" s="453"/>
      <c r="Y36" s="453"/>
      <c r="Z36" s="453"/>
      <c r="AA36" s="453"/>
      <c r="AB36" s="453"/>
      <c r="AC36" s="453"/>
      <c r="AD36" s="453"/>
      <c r="AE36" s="453"/>
      <c r="AF36" s="453"/>
    </row>
    <row r="37" spans="1:36">
      <c r="A37" s="170" t="s">
        <v>6932</v>
      </c>
      <c r="B37" s="170" t="s">
        <v>4823</v>
      </c>
      <c r="C37" s="170" t="s">
        <v>6929</v>
      </c>
      <c r="D37" s="170" t="s">
        <v>6941</v>
      </c>
      <c r="E37" s="170" t="s">
        <v>6930</v>
      </c>
      <c r="F37" s="170"/>
      <c r="G37" s="170" t="s">
        <v>6939</v>
      </c>
      <c r="H37" s="170"/>
      <c r="I37" s="170" t="s">
        <v>4245</v>
      </c>
      <c r="J37" s="170" t="s">
        <v>6230</v>
      </c>
      <c r="K37" s="324">
        <v>13000000000</v>
      </c>
      <c r="L37" s="453"/>
      <c r="M37" s="453"/>
      <c r="N37" s="94"/>
      <c r="O37" s="94"/>
      <c r="X37" s="94"/>
      <c r="Y37" s="94"/>
      <c r="Z37" s="453"/>
      <c r="AA37" s="453"/>
      <c r="AB37" s="453"/>
      <c r="AC37" s="453"/>
      <c r="AD37" s="453"/>
      <c r="AE37" s="453"/>
      <c r="AF37" s="453"/>
      <c r="AG37" s="453"/>
      <c r="AH37" s="453"/>
      <c r="AI37" s="453"/>
    </row>
    <row r="38" spans="1:36">
      <c r="A38" s="170" t="s">
        <v>5788</v>
      </c>
      <c r="B38" s="324">
        <v>4733791436</v>
      </c>
      <c r="C38" s="325">
        <f>'سهام بنیادی'!B18</f>
        <v>173</v>
      </c>
      <c r="D38" s="325">
        <f>B38*C38/$K$37</f>
        <v>62.995839879076925</v>
      </c>
      <c r="E38" s="325">
        <f>'سهام بنیادی'!C18</f>
        <v>170</v>
      </c>
      <c r="F38" s="325">
        <f>B38*E38/$K$37</f>
        <v>61.903426470769233</v>
      </c>
      <c r="G38" s="325">
        <f>'سهام بنیادی'!D18</f>
        <v>400</v>
      </c>
      <c r="H38" s="325">
        <f>B38*G38/$K$37</f>
        <v>145.65512110769231</v>
      </c>
      <c r="I38" s="325">
        <f>'سهام بنیادی'!E18</f>
        <v>4695</v>
      </c>
      <c r="J38" s="325">
        <f>B38*I38/$M$2</f>
        <v>308.68264988916667</v>
      </c>
      <c r="K38" s="453"/>
      <c r="L38" s="453"/>
      <c r="M38" s="453"/>
      <c r="N38" s="94"/>
      <c r="O38" s="94"/>
      <c r="X38" s="94"/>
      <c r="Y38" s="94"/>
      <c r="Z38" s="453"/>
      <c r="AA38" s="453"/>
      <c r="AB38" s="453"/>
      <c r="AC38" s="453"/>
      <c r="AD38" s="453"/>
      <c r="AE38" s="453"/>
      <c r="AF38" s="453"/>
      <c r="AG38" s="453"/>
      <c r="AH38" s="453"/>
      <c r="AI38" s="453"/>
    </row>
    <row r="39" spans="1:36">
      <c r="A39" s="170" t="s">
        <v>6933</v>
      </c>
      <c r="B39" s="324">
        <v>7206000000</v>
      </c>
      <c r="C39" s="325">
        <f>'سهام بنیادی'!B23</f>
        <v>219</v>
      </c>
      <c r="D39" s="325">
        <f t="shared" ref="D39:D45" si="10">B39*C39/$K$37</f>
        <v>121.39338461538462</v>
      </c>
      <c r="E39" s="325">
        <f>'سهام بنیادی'!C23</f>
        <v>95</v>
      </c>
      <c r="F39" s="325">
        <f t="shared" ref="F39:F45" si="11">B39*E39/$K$37</f>
        <v>52.659230769230767</v>
      </c>
      <c r="G39" s="325">
        <f>'سهام بنیادی'!D23</f>
        <v>120</v>
      </c>
      <c r="H39" s="325">
        <f t="shared" ref="H39:H45" si="12">B39*G39/$K$37</f>
        <v>66.516923076923078</v>
      </c>
      <c r="I39" s="325">
        <f>'سهام بنیادی'!E23</f>
        <v>795</v>
      </c>
      <c r="J39" s="325">
        <f>B39*I39/$M$2</f>
        <v>79.566249999999997</v>
      </c>
      <c r="K39" s="453"/>
      <c r="L39" s="453"/>
      <c r="M39" s="453"/>
      <c r="N39" s="453"/>
      <c r="O39" s="453"/>
      <c r="P39" s="453"/>
      <c r="X39" s="94"/>
      <c r="Y39" s="94"/>
      <c r="Z39" s="453"/>
      <c r="AA39" s="453"/>
      <c r="AB39" s="453"/>
      <c r="AC39" s="453"/>
      <c r="AD39" s="453"/>
      <c r="AE39" s="453"/>
      <c r="AF39" s="453"/>
      <c r="AG39" s="453"/>
      <c r="AH39" s="453"/>
      <c r="AI39" s="453"/>
    </row>
    <row r="40" spans="1:36">
      <c r="A40" s="170" t="s">
        <v>6937</v>
      </c>
      <c r="B40" s="324">
        <v>288110000</v>
      </c>
      <c r="C40" s="325">
        <f>'سهام بنیادی'!B24</f>
        <v>825</v>
      </c>
      <c r="D40" s="325">
        <f t="shared" si="10"/>
        <v>18.283903846153848</v>
      </c>
      <c r="E40" s="325">
        <f>'سهام بنیادی'!C24</f>
        <v>750</v>
      </c>
      <c r="F40" s="325">
        <f t="shared" si="11"/>
        <v>16.621730769230769</v>
      </c>
      <c r="G40" s="325">
        <f>'سهام بنیادی'!D24</f>
        <v>1000</v>
      </c>
      <c r="H40" s="325">
        <f t="shared" si="12"/>
        <v>22.162307692307692</v>
      </c>
      <c r="I40" s="325">
        <f>'سهام بنیادی'!E24</f>
        <v>7250</v>
      </c>
      <c r="J40" s="325">
        <f>B40*I40/$M$2</f>
        <v>29.011076388888888</v>
      </c>
      <c r="K40" s="453"/>
      <c r="L40" s="453"/>
      <c r="M40" s="453"/>
      <c r="N40" s="453"/>
      <c r="O40" s="453"/>
      <c r="P40" s="453"/>
      <c r="Q40" s="453"/>
      <c r="Y40" s="94"/>
      <c r="Z40" s="94"/>
      <c r="AA40" s="453"/>
      <c r="AB40" s="453"/>
      <c r="AC40" s="453"/>
      <c r="AD40" s="453"/>
      <c r="AE40" s="453"/>
      <c r="AF40" s="453"/>
      <c r="AG40" s="453"/>
      <c r="AH40" s="453"/>
      <c r="AI40" s="453"/>
      <c r="AJ40" s="453"/>
    </row>
    <row r="41" spans="1:36">
      <c r="A41" s="170" t="s">
        <v>6934</v>
      </c>
      <c r="B41" s="324">
        <v>324970000</v>
      </c>
      <c r="C41" s="325">
        <f>'سهام بنیادی'!B25</f>
        <v>2959</v>
      </c>
      <c r="D41" s="325">
        <f t="shared" si="10"/>
        <v>73.968171538461533</v>
      </c>
      <c r="E41" s="325">
        <f>'سهام بنیادی'!C25</f>
        <v>2400</v>
      </c>
      <c r="F41" s="325">
        <f t="shared" si="11"/>
        <v>59.994461538461536</v>
      </c>
      <c r="G41" s="325">
        <f>'سهام بنیادی'!D25</f>
        <v>3500</v>
      </c>
      <c r="H41" s="325">
        <f t="shared" si="12"/>
        <v>87.491923076923072</v>
      </c>
      <c r="I41" s="325">
        <f>'سهام بنیادی'!E25</f>
        <v>18000</v>
      </c>
      <c r="J41" s="325">
        <f>B41*I41/$M$2</f>
        <v>81.242500000000007</v>
      </c>
      <c r="K41" s="453"/>
      <c r="L41" s="453"/>
      <c r="M41" s="453"/>
      <c r="N41" s="453"/>
      <c r="O41" s="453"/>
      <c r="P41" s="453"/>
      <c r="Q41" s="453"/>
      <c r="Y41" s="94"/>
      <c r="Z41" s="94"/>
      <c r="AA41" s="453"/>
      <c r="AB41" s="453"/>
      <c r="AC41" s="453"/>
      <c r="AD41" s="453"/>
      <c r="AE41" s="453"/>
      <c r="AF41" s="453"/>
      <c r="AG41" s="453"/>
      <c r="AH41" s="453"/>
      <c r="AI41" s="453"/>
      <c r="AJ41" s="453"/>
    </row>
    <row r="42" spans="1:36">
      <c r="A42" s="170" t="s">
        <v>6935</v>
      </c>
      <c r="B42" s="324">
        <v>5382480274</v>
      </c>
      <c r="C42" s="325">
        <f>'سهام بنیادی'!B26</f>
        <v>125</v>
      </c>
      <c r="D42" s="325">
        <f t="shared" si="10"/>
        <v>51.754618019230769</v>
      </c>
      <c r="E42" s="325">
        <f>'سهام بنیادی'!C26</f>
        <v>100</v>
      </c>
      <c r="F42" s="325">
        <f t="shared" si="11"/>
        <v>41.403694415384614</v>
      </c>
      <c r="G42" s="325">
        <f>'سهام بنیادی'!D26</f>
        <v>220</v>
      </c>
      <c r="H42" s="325">
        <f t="shared" si="12"/>
        <v>91.088127713846148</v>
      </c>
      <c r="I42" s="325">
        <f>'سهام بنیادی'!E26</f>
        <v>1100</v>
      </c>
      <c r="J42" s="325">
        <f>B42*I42/$M$2</f>
        <v>82.232337519444442</v>
      </c>
      <c r="K42" s="453"/>
      <c r="L42" s="453"/>
      <c r="M42" s="453"/>
      <c r="N42" s="453"/>
      <c r="O42" s="453"/>
      <c r="P42" s="453"/>
      <c r="Q42" s="453"/>
      <c r="Y42" s="94"/>
      <c r="Z42" s="94"/>
      <c r="AA42" s="453"/>
      <c r="AB42" s="453"/>
      <c r="AC42" s="453"/>
      <c r="AD42" s="453"/>
      <c r="AE42" s="453"/>
      <c r="AF42" s="453"/>
      <c r="AG42" s="453"/>
      <c r="AH42" s="453"/>
      <c r="AI42" s="453"/>
      <c r="AJ42" s="453"/>
    </row>
    <row r="43" spans="1:36">
      <c r="A43" s="170" t="s">
        <v>6938</v>
      </c>
      <c r="B43" s="324"/>
      <c r="C43" s="325"/>
      <c r="D43" s="325">
        <f t="shared" si="10"/>
        <v>0</v>
      </c>
      <c r="E43" s="325"/>
      <c r="F43" s="325">
        <f t="shared" si="11"/>
        <v>0</v>
      </c>
      <c r="G43" s="325"/>
      <c r="H43" s="325">
        <f t="shared" si="12"/>
        <v>0</v>
      </c>
      <c r="I43" s="325"/>
      <c r="J43" s="325"/>
      <c r="K43" s="453"/>
      <c r="L43" s="453"/>
      <c r="M43" s="453"/>
      <c r="N43" s="453"/>
      <c r="O43" s="453"/>
      <c r="P43" s="453"/>
      <c r="Q43" s="453"/>
      <c r="Y43" s="94"/>
      <c r="Z43" s="94"/>
      <c r="AA43" s="453"/>
      <c r="AB43" s="453"/>
      <c r="AC43" s="453"/>
      <c r="AD43" s="453"/>
      <c r="AE43" s="453"/>
      <c r="AF43" s="453"/>
      <c r="AG43" s="453"/>
      <c r="AH43" s="453"/>
      <c r="AI43" s="453"/>
      <c r="AJ43" s="453"/>
    </row>
    <row r="44" spans="1:36">
      <c r="A44" s="170"/>
      <c r="B44" s="324"/>
      <c r="C44" s="325"/>
      <c r="D44" s="325">
        <f t="shared" si="10"/>
        <v>0</v>
      </c>
      <c r="E44" s="325"/>
      <c r="F44" s="325">
        <f t="shared" si="11"/>
        <v>0</v>
      </c>
      <c r="G44" s="325"/>
      <c r="H44" s="325">
        <f t="shared" si="12"/>
        <v>0</v>
      </c>
      <c r="I44" s="325"/>
      <c r="J44" s="325"/>
      <c r="K44" s="453"/>
      <c r="L44" s="453"/>
      <c r="M44" s="453"/>
      <c r="N44" s="453"/>
      <c r="O44" s="453"/>
      <c r="P44" s="453"/>
      <c r="Q44" s="453"/>
      <c r="Y44" s="94"/>
      <c r="Z44" s="94"/>
      <c r="AA44" s="453"/>
      <c r="AB44" s="453"/>
      <c r="AC44" s="453"/>
      <c r="AD44" s="453"/>
      <c r="AE44" s="453"/>
      <c r="AF44" s="453"/>
      <c r="AG44" s="453"/>
      <c r="AH44" s="453"/>
      <c r="AI44" s="453"/>
      <c r="AJ44" s="453"/>
    </row>
    <row r="45" spans="1:36">
      <c r="A45" s="170"/>
      <c r="B45" s="324"/>
      <c r="C45" s="325"/>
      <c r="D45" s="325">
        <f t="shared" si="10"/>
        <v>0</v>
      </c>
      <c r="E45" s="325"/>
      <c r="F45" s="325">
        <f t="shared" si="11"/>
        <v>0</v>
      </c>
      <c r="G45" s="325"/>
      <c r="H45" s="325">
        <f t="shared" si="12"/>
        <v>0</v>
      </c>
      <c r="I45" s="325"/>
      <c r="J45" s="325"/>
      <c r="K45" s="453"/>
      <c r="L45" s="453"/>
      <c r="M45" s="453"/>
      <c r="N45" s="453"/>
      <c r="O45" s="453"/>
      <c r="P45" s="453"/>
      <c r="Q45" s="453"/>
      <c r="Y45" s="94"/>
      <c r="Z45" s="94"/>
      <c r="AA45" s="453"/>
      <c r="AB45" s="453"/>
      <c r="AC45" s="453"/>
      <c r="AD45" s="453"/>
      <c r="AE45" s="453"/>
      <c r="AF45" s="453"/>
      <c r="AG45" s="453"/>
      <c r="AH45" s="453"/>
      <c r="AI45" s="453"/>
      <c r="AJ45" s="453"/>
    </row>
    <row r="46" spans="1:36">
      <c r="A46" s="170"/>
      <c r="B46" s="324"/>
      <c r="C46" s="325"/>
      <c r="D46" s="325"/>
      <c r="E46" s="325"/>
      <c r="F46" s="325"/>
      <c r="G46" s="325"/>
      <c r="H46" s="325"/>
      <c r="I46" s="325"/>
      <c r="J46" s="325"/>
      <c r="L46" s="94"/>
      <c r="M46" s="94"/>
      <c r="N46" s="453"/>
      <c r="O46" s="453"/>
      <c r="P46" s="453"/>
      <c r="Q46" s="453"/>
      <c r="Y46" s="94"/>
      <c r="Z46" s="94"/>
      <c r="AA46" s="453"/>
      <c r="AB46" s="453"/>
      <c r="AC46" s="453"/>
      <c r="AD46" s="453"/>
      <c r="AE46" s="453"/>
      <c r="AF46" s="453"/>
      <c r="AG46" s="453"/>
      <c r="AH46" s="453"/>
      <c r="AI46" s="453"/>
      <c r="AJ46" s="453"/>
    </row>
    <row r="47" spans="1:36">
      <c r="A47" s="170"/>
      <c r="B47" s="170"/>
      <c r="C47" s="170"/>
      <c r="D47" s="168">
        <f>SUM(D38:D45)</f>
        <v>328.39591789830769</v>
      </c>
      <c r="E47" s="168"/>
      <c r="F47" s="168">
        <f>SUM(F38:F45)</f>
        <v>232.58254396307692</v>
      </c>
      <c r="G47" s="170"/>
      <c r="H47" s="168">
        <f>SUM(H38:H45)</f>
        <v>412.91440266769234</v>
      </c>
      <c r="I47" s="170"/>
      <c r="J47" s="325">
        <f>SUM(J38:J46)</f>
        <v>580.73481379750001</v>
      </c>
      <c r="K47" s="94"/>
      <c r="L47" s="94"/>
      <c r="M47" s="94"/>
      <c r="N47" s="453"/>
      <c r="O47" s="453"/>
      <c r="P47" s="453"/>
      <c r="Q47" s="453"/>
      <c r="Y47" s="94"/>
      <c r="Z47" s="94"/>
      <c r="AA47" s="453"/>
      <c r="AB47" s="453"/>
      <c r="AC47" s="453"/>
      <c r="AD47" s="453"/>
      <c r="AE47" s="453"/>
      <c r="AF47" s="453"/>
      <c r="AG47" s="453"/>
      <c r="AH47" s="453"/>
      <c r="AI47" s="453"/>
      <c r="AJ47" s="453"/>
    </row>
    <row r="48" spans="1:36">
      <c r="A48" s="94"/>
      <c r="B48" s="94"/>
      <c r="E48" s="94"/>
      <c r="F48" s="94"/>
      <c r="G48" s="94" t="s">
        <v>6</v>
      </c>
      <c r="H48" s="94"/>
      <c r="I48" s="94"/>
      <c r="J48" s="94"/>
      <c r="K48" s="453"/>
      <c r="L48" s="453" t="s">
        <v>25</v>
      </c>
      <c r="M48" s="453"/>
      <c r="N48" s="453"/>
      <c r="V48" s="94"/>
      <c r="W48" s="94"/>
      <c r="X48" s="453"/>
      <c r="Y48" s="453"/>
      <c r="Z48" s="453"/>
      <c r="AA48" s="453"/>
      <c r="AB48" s="453"/>
      <c r="AC48" s="453"/>
      <c r="AD48" s="453"/>
      <c r="AE48" s="453"/>
      <c r="AF48" s="453"/>
      <c r="AG48" s="453"/>
    </row>
    <row r="49" spans="1:33">
      <c r="A49" s="94"/>
      <c r="B49" s="94"/>
      <c r="E49" s="94"/>
      <c r="F49" s="94"/>
      <c r="K49" s="94"/>
      <c r="L49" s="94"/>
      <c r="M49" s="94"/>
      <c r="V49" s="94"/>
      <c r="W49" s="94"/>
      <c r="X49" s="453"/>
      <c r="Y49" s="453"/>
      <c r="Z49" s="453"/>
      <c r="AA49" s="453"/>
      <c r="AB49" s="453"/>
      <c r="AC49" s="453"/>
      <c r="AD49" s="453"/>
      <c r="AE49" s="453"/>
      <c r="AF49" s="453"/>
      <c r="AG49" s="453"/>
    </row>
    <row r="50" spans="1:33">
      <c r="C50" s="94" t="s">
        <v>25</v>
      </c>
      <c r="G50" s="94"/>
      <c r="H50" s="94"/>
      <c r="I50" s="94"/>
      <c r="J50" s="94"/>
      <c r="K50" s="94"/>
      <c r="L50" s="94"/>
      <c r="M50" s="94"/>
      <c r="V50" s="94"/>
      <c r="W50" s="94"/>
      <c r="X50" s="453"/>
      <c r="Y50" s="453"/>
      <c r="Z50" s="453"/>
      <c r="AA50" s="453"/>
      <c r="AB50" s="453"/>
      <c r="AC50" s="453"/>
      <c r="AD50" s="453"/>
      <c r="AE50" s="453"/>
      <c r="AF50" s="453"/>
      <c r="AG50" s="453"/>
    </row>
    <row r="51" spans="1:33">
      <c r="A51" s="94"/>
      <c r="B51" s="94"/>
      <c r="E51" s="94"/>
      <c r="F51" s="94"/>
      <c r="K51" s="94"/>
      <c r="L51" s="94"/>
      <c r="U51" s="94"/>
      <c r="V51" s="94"/>
    </row>
    <row r="52" spans="1:33">
      <c r="G52" t="s">
        <v>5083</v>
      </c>
      <c r="H52" t="s">
        <v>25</v>
      </c>
      <c r="U52" s="94"/>
      <c r="V52" s="94"/>
    </row>
    <row r="53" spans="1:33">
      <c r="C53" s="94" t="s">
        <v>5073</v>
      </c>
      <c r="D53" s="94" t="s">
        <v>5079</v>
      </c>
      <c r="E53" t="s">
        <v>5080</v>
      </c>
      <c r="F53" t="s">
        <v>5082</v>
      </c>
      <c r="G53">
        <f t="shared" ref="G53:G59" si="13">F54*11400/1000000000</f>
        <v>7965.2939999999999</v>
      </c>
      <c r="J53" t="s">
        <v>25</v>
      </c>
      <c r="K53" s="94"/>
      <c r="L53" s="94"/>
      <c r="U53" s="94"/>
      <c r="V53" s="94"/>
    </row>
    <row r="54" spans="1:33">
      <c r="C54" s="94" t="s">
        <v>5078</v>
      </c>
      <c r="D54" s="94">
        <v>1306</v>
      </c>
      <c r="E54">
        <v>0.53500000000000003</v>
      </c>
      <c r="F54">
        <f t="shared" ref="F54:F60" si="14">D54*E54*$D$65</f>
        <v>698710000</v>
      </c>
      <c r="G54" s="94">
        <f t="shared" si="13"/>
        <v>57</v>
      </c>
      <c r="U54" s="94"/>
      <c r="V54" s="94"/>
    </row>
    <row r="55" spans="1:33">
      <c r="B55" s="94"/>
      <c r="C55" s="94" t="s">
        <v>5084</v>
      </c>
      <c r="D55" s="94">
        <v>10</v>
      </c>
      <c r="E55" s="94">
        <v>0.5</v>
      </c>
      <c r="F55" s="94">
        <f t="shared" si="14"/>
        <v>5000000</v>
      </c>
      <c r="G55" s="94">
        <f t="shared" si="13"/>
        <v>3645.72</v>
      </c>
      <c r="J55" t="s">
        <v>25</v>
      </c>
      <c r="N55" t="s">
        <v>25</v>
      </c>
      <c r="U55" s="94"/>
      <c r="V55" s="94"/>
    </row>
    <row r="56" spans="1:33">
      <c r="B56" s="94"/>
      <c r="C56" s="94" t="s">
        <v>5085</v>
      </c>
      <c r="D56" s="94">
        <v>492</v>
      </c>
      <c r="E56" s="94">
        <v>0.65</v>
      </c>
      <c r="F56" s="94">
        <f t="shared" si="14"/>
        <v>319800000</v>
      </c>
      <c r="G56" s="94">
        <f t="shared" si="13"/>
        <v>2679</v>
      </c>
      <c r="U56" s="94"/>
      <c r="V56" s="94"/>
    </row>
    <row r="57" spans="1:33">
      <c r="A57" t="s">
        <v>5761</v>
      </c>
      <c r="B57" s="94"/>
      <c r="C57" s="94" t="s">
        <v>5086</v>
      </c>
      <c r="D57" s="94">
        <v>235</v>
      </c>
      <c r="E57" s="94">
        <v>1</v>
      </c>
      <c r="F57" s="94">
        <f t="shared" si="14"/>
        <v>235000000</v>
      </c>
      <c r="G57" s="94">
        <f t="shared" si="13"/>
        <v>3420</v>
      </c>
      <c r="U57" s="94"/>
      <c r="V57" s="94"/>
    </row>
    <row r="58" spans="1:33">
      <c r="A58" s="94" t="s">
        <v>5762</v>
      </c>
      <c r="B58" s="94">
        <v>0.3</v>
      </c>
      <c r="C58" s="94" t="s">
        <v>5087</v>
      </c>
      <c r="D58" s="94">
        <v>500</v>
      </c>
      <c r="E58" s="94">
        <v>0.6</v>
      </c>
      <c r="F58" s="94">
        <f t="shared" si="14"/>
        <v>300000000</v>
      </c>
      <c r="G58" s="94">
        <f t="shared" si="13"/>
        <v>10294.200000000001</v>
      </c>
      <c r="H58">
        <v>1</v>
      </c>
      <c r="L58" t="s">
        <v>25</v>
      </c>
      <c r="U58" s="94"/>
      <c r="V58" s="94"/>
    </row>
    <row r="59" spans="1:33">
      <c r="A59" s="94" t="s">
        <v>5291</v>
      </c>
      <c r="B59" s="18">
        <v>36000000000000</v>
      </c>
      <c r="C59" s="94" t="s">
        <v>5088</v>
      </c>
      <c r="D59" s="94">
        <v>903</v>
      </c>
      <c r="E59" s="94">
        <v>1</v>
      </c>
      <c r="F59" s="94">
        <f t="shared" si="14"/>
        <v>903000000</v>
      </c>
      <c r="G59" s="94">
        <f t="shared" si="13"/>
        <v>0</v>
      </c>
      <c r="U59" s="94"/>
      <c r="V59" s="94"/>
    </row>
    <row r="60" spans="1:33">
      <c r="A60" s="120" t="s">
        <v>4823</v>
      </c>
      <c r="B60" s="94">
        <v>18000000000</v>
      </c>
      <c r="E60" s="94"/>
      <c r="F60" s="94">
        <f t="shared" si="14"/>
        <v>0</v>
      </c>
      <c r="G60" s="94"/>
      <c r="U60" s="94"/>
      <c r="V60" s="94"/>
    </row>
    <row r="61" spans="1:33">
      <c r="A61" s="120" t="s">
        <v>5763</v>
      </c>
      <c r="B61" s="18">
        <f>B58*B59/B60</f>
        <v>600</v>
      </c>
      <c r="E61" s="94"/>
      <c r="F61" s="94"/>
      <c r="G61" s="94"/>
      <c r="U61" s="94"/>
      <c r="V61" s="94"/>
    </row>
    <row r="62" spans="1:33">
      <c r="A62" s="120" t="s">
        <v>5764</v>
      </c>
      <c r="B62" s="120">
        <v>872000000</v>
      </c>
      <c r="E62" s="94"/>
      <c r="F62" s="94"/>
      <c r="L62" t="s">
        <v>25</v>
      </c>
      <c r="U62" s="94"/>
      <c r="V62" s="94"/>
    </row>
    <row r="63" spans="1:33">
      <c r="A63" s="120" t="s">
        <v>5765</v>
      </c>
      <c r="B63" s="18">
        <v>750</v>
      </c>
      <c r="E63" s="94"/>
      <c r="F63" s="94"/>
      <c r="U63" s="94"/>
      <c r="V63" s="94"/>
    </row>
    <row r="64" spans="1:33">
      <c r="A64" s="120" t="s">
        <v>5766</v>
      </c>
      <c r="B64" s="94">
        <f>B62*B63/B60</f>
        <v>36.333333333333336</v>
      </c>
      <c r="C64" s="94" t="s">
        <v>5074</v>
      </c>
      <c r="D64" s="94" t="s">
        <v>5075</v>
      </c>
      <c r="E64" s="94"/>
      <c r="F64" s="94"/>
      <c r="U64" s="94"/>
      <c r="V64" s="94"/>
    </row>
    <row r="65" spans="1:22">
      <c r="A65" s="120"/>
      <c r="B65" s="120"/>
      <c r="C65" s="94" t="s">
        <v>5081</v>
      </c>
      <c r="D65" s="94">
        <v>1000000</v>
      </c>
      <c r="E65" s="94"/>
      <c r="F65" s="94"/>
      <c r="U65" s="94"/>
      <c r="V65" s="94"/>
    </row>
    <row r="66" spans="1:22">
      <c r="A66" s="120"/>
      <c r="B66" s="18"/>
      <c r="C66" s="94" t="s">
        <v>5076</v>
      </c>
      <c r="D66" s="94" t="s">
        <v>5077</v>
      </c>
      <c r="E66" s="94"/>
      <c r="F66" s="94"/>
      <c r="U66" s="94"/>
      <c r="V66" s="94"/>
    </row>
    <row r="67" spans="1:22">
      <c r="A67" s="120"/>
      <c r="B67" s="94"/>
      <c r="E67" s="94"/>
      <c r="F67" s="94"/>
      <c r="U67" s="94"/>
      <c r="V67" s="94"/>
    </row>
    <row r="68" spans="1:22">
      <c r="A68" s="94"/>
      <c r="B68" s="94"/>
      <c r="E68" s="94"/>
      <c r="F68" s="94"/>
      <c r="U68" s="94"/>
      <c r="V68" s="94"/>
    </row>
    <row r="69" spans="1:22">
      <c r="A69" s="94"/>
      <c r="B69" s="94"/>
      <c r="E69" s="94"/>
      <c r="F69" s="94"/>
      <c r="U69" s="94"/>
      <c r="V69" s="94"/>
    </row>
    <row r="70" spans="1:22">
      <c r="A70" s="94"/>
      <c r="B70" s="94"/>
      <c r="E70" s="94"/>
      <c r="F70" s="94"/>
      <c r="M70" t="s">
        <v>25</v>
      </c>
    </row>
    <row r="71" spans="1:22">
      <c r="A71" s="94"/>
      <c r="B71" s="94" t="s">
        <v>4823</v>
      </c>
      <c r="C71" s="94" t="s">
        <v>4245</v>
      </c>
      <c r="D71" s="94" t="s">
        <v>4419</v>
      </c>
      <c r="E71" s="94" t="s">
        <v>5079</v>
      </c>
      <c r="F71" s="94" t="s">
        <v>5385</v>
      </c>
      <c r="M71" t="s">
        <v>25</v>
      </c>
    </row>
    <row r="72" spans="1:22">
      <c r="A72" s="94" t="s">
        <v>4829</v>
      </c>
      <c r="B72" s="94">
        <v>6</v>
      </c>
      <c r="C72" s="94">
        <v>4125</v>
      </c>
      <c r="D72" s="94">
        <f>B72*C72</f>
        <v>24750</v>
      </c>
      <c r="E72" s="94">
        <v>3</v>
      </c>
      <c r="F72" s="94">
        <f>D72/E72</f>
        <v>8250</v>
      </c>
    </row>
    <row r="73" spans="1:22">
      <c r="A73" s="94" t="s">
        <v>4503</v>
      </c>
      <c r="B73" s="94">
        <v>9</v>
      </c>
      <c r="C73" s="94">
        <v>439</v>
      </c>
      <c r="D73" s="94">
        <f>B73*C73</f>
        <v>3951</v>
      </c>
      <c r="E73" s="94">
        <v>1.073</v>
      </c>
      <c r="F73" s="94">
        <f>D73/E73</f>
        <v>3682.1994408201308</v>
      </c>
    </row>
    <row r="74" spans="1:22">
      <c r="A74" s="94"/>
      <c r="B74" s="94"/>
      <c r="E74" s="94"/>
      <c r="F74" s="94"/>
    </row>
    <row r="75" spans="1:22">
      <c r="A75" s="94"/>
      <c r="B75" s="94"/>
      <c r="E75" s="94"/>
      <c r="F75" s="94"/>
      <c r="U75" t="s">
        <v>25</v>
      </c>
    </row>
    <row r="76" spans="1:22">
      <c r="A76" s="94"/>
      <c r="B76" s="94"/>
      <c r="E76" s="94"/>
      <c r="F76" s="94"/>
    </row>
    <row r="77" spans="1:22">
      <c r="A77" s="94"/>
      <c r="B77" s="94"/>
      <c r="E77" s="94"/>
      <c r="F77" s="94"/>
    </row>
    <row r="78" spans="1:22">
      <c r="A78" s="94" t="s">
        <v>5785</v>
      </c>
      <c r="B78" s="94"/>
      <c r="E78" s="94"/>
      <c r="F78" s="94"/>
    </row>
    <row r="79" spans="1:22">
      <c r="A79" s="94" t="s">
        <v>5777</v>
      </c>
      <c r="B79" s="94"/>
      <c r="E79" s="94"/>
      <c r="F79" s="94"/>
      <c r="N79" t="s">
        <v>25</v>
      </c>
    </row>
    <row r="80" spans="1:22">
      <c r="A80" s="94" t="s">
        <v>5778</v>
      </c>
      <c r="B80" s="94"/>
      <c r="E80" s="94"/>
      <c r="F80" s="94"/>
      <c r="K80" t="s">
        <v>25</v>
      </c>
    </row>
    <row r="81" spans="1:23">
      <c r="A81" t="s">
        <v>5786</v>
      </c>
      <c r="B81" s="94"/>
      <c r="E81" s="94"/>
      <c r="F81" s="94"/>
      <c r="W81" t="s">
        <v>25</v>
      </c>
    </row>
    <row r="82" spans="1:23">
      <c r="A82" t="s">
        <v>5482</v>
      </c>
      <c r="B82" s="94"/>
      <c r="E82" s="94"/>
      <c r="F82" s="94"/>
    </row>
    <row r="83" spans="1:23">
      <c r="A83" s="94" t="s">
        <v>4831</v>
      </c>
      <c r="B83" s="94"/>
      <c r="E83" s="94"/>
      <c r="F83" s="94"/>
    </row>
    <row r="84" spans="1:23">
      <c r="A84" s="94" t="s">
        <v>4830</v>
      </c>
      <c r="B84" s="94"/>
      <c r="E84" s="94"/>
      <c r="F84" s="94"/>
    </row>
    <row r="85" spans="1:23">
      <c r="A85" s="94" t="s">
        <v>5780</v>
      </c>
      <c r="B85" s="94"/>
      <c r="C85" s="94" t="s">
        <v>25</v>
      </c>
      <c r="E85" s="94"/>
      <c r="F85" s="94"/>
    </row>
    <row r="86" spans="1:23">
      <c r="A86" s="94" t="s">
        <v>5781</v>
      </c>
      <c r="B86" s="94"/>
      <c r="E86" s="94"/>
      <c r="F86" s="94"/>
    </row>
    <row r="87" spans="1:23">
      <c r="A87" t="s">
        <v>5797</v>
      </c>
      <c r="B87" s="94"/>
      <c r="E87" s="94"/>
      <c r="F87" s="94"/>
    </row>
    <row r="88" spans="1:23">
      <c r="A88" t="s">
        <v>4476</v>
      </c>
      <c r="B88" s="94"/>
      <c r="E88" s="94"/>
      <c r="F88" s="94"/>
    </row>
    <row r="89" spans="1:23">
      <c r="A89" s="94" t="s">
        <v>4503</v>
      </c>
      <c r="B89" s="94"/>
      <c r="E89" s="94"/>
      <c r="F89" s="94"/>
    </row>
    <row r="90" spans="1:23">
      <c r="A90" s="94"/>
      <c r="B90" s="94"/>
      <c r="C90" s="94" t="s">
        <v>25</v>
      </c>
      <c r="E90" s="94"/>
      <c r="F90" s="94"/>
    </row>
    <row r="91" spans="1:23">
      <c r="B91" s="94"/>
      <c r="E91" s="94"/>
      <c r="F91" s="94"/>
    </row>
    <row r="92" spans="1:23">
      <c r="A92" s="94" t="s">
        <v>5779</v>
      </c>
      <c r="B92" s="94"/>
      <c r="E92" s="94"/>
      <c r="F92" s="94"/>
    </row>
    <row r="93" spans="1:23">
      <c r="A93" s="94" t="s">
        <v>5261</v>
      </c>
      <c r="B93" s="94"/>
      <c r="E93" s="94"/>
      <c r="F93" s="94"/>
    </row>
    <row r="94" spans="1:23">
      <c r="A94" s="94" t="s">
        <v>5270</v>
      </c>
      <c r="B94" s="94"/>
      <c r="E94" s="94"/>
      <c r="F94" s="94"/>
      <c r="M94" t="s">
        <v>25</v>
      </c>
    </row>
    <row r="95" spans="1:23">
      <c r="A95" s="94" t="s">
        <v>5790</v>
      </c>
      <c r="B95" s="94"/>
      <c r="E95" s="94"/>
      <c r="F95" s="94"/>
      <c r="W95" t="s">
        <v>25</v>
      </c>
    </row>
    <row r="96" spans="1:23">
      <c r="A96" s="94" t="s">
        <v>5275</v>
      </c>
      <c r="B96" s="94"/>
      <c r="E96" s="94"/>
      <c r="F96" s="94"/>
    </row>
    <row r="97" spans="1:28">
      <c r="A97" s="94" t="s">
        <v>5791</v>
      </c>
      <c r="B97" s="94"/>
      <c r="E97" s="94"/>
      <c r="F97" s="94"/>
    </row>
    <row r="98" spans="1:28">
      <c r="A98" s="94" t="s">
        <v>5792</v>
      </c>
      <c r="B98" s="94"/>
      <c r="E98" s="94"/>
      <c r="F98" s="94"/>
    </row>
    <row r="99" spans="1:28">
      <c r="A99" s="94" t="s">
        <v>5793</v>
      </c>
      <c r="B99" s="94"/>
      <c r="E99" s="94"/>
      <c r="F99" s="94"/>
      <c r="AB99" t="s">
        <v>25</v>
      </c>
    </row>
    <row r="100" spans="1:28">
      <c r="A100" s="94" t="s">
        <v>4478</v>
      </c>
      <c r="B100" s="94"/>
      <c r="E100" s="94"/>
      <c r="F100" s="94"/>
    </row>
    <row r="101" spans="1:28">
      <c r="A101" s="94" t="s">
        <v>4554</v>
      </c>
      <c r="B101" s="94" t="s">
        <v>25</v>
      </c>
      <c r="E101" s="94"/>
      <c r="F101" s="94"/>
      <c r="M101" t="s">
        <v>25</v>
      </c>
    </row>
    <row r="102" spans="1:28">
      <c r="A102" s="94" t="s">
        <v>4708</v>
      </c>
      <c r="B102" s="94"/>
      <c r="E102" s="94"/>
      <c r="F102" s="94"/>
    </row>
    <row r="103" spans="1:28">
      <c r="A103" s="94" t="s">
        <v>4652</v>
      </c>
      <c r="B103" s="94"/>
      <c r="E103" s="94"/>
      <c r="F103" s="94"/>
    </row>
    <row r="104" spans="1:28">
      <c r="A104" s="94"/>
      <c r="B104" s="94"/>
      <c r="E104" s="94"/>
      <c r="F104" s="94"/>
    </row>
    <row r="105" spans="1:28">
      <c r="A105" s="94"/>
      <c r="B105" s="94"/>
      <c r="E105" s="94"/>
      <c r="F105" s="94"/>
      <c r="U105" t="s">
        <v>25</v>
      </c>
    </row>
    <row r="106" spans="1:28">
      <c r="B106" s="94"/>
      <c r="E106" s="94"/>
      <c r="F106" s="94"/>
      <c r="L106" s="112"/>
    </row>
    <row r="107" spans="1:28">
      <c r="A107" s="94" t="s">
        <v>5784</v>
      </c>
      <c r="E107" s="94"/>
      <c r="F107" s="94"/>
    </row>
    <row r="108" spans="1:28">
      <c r="A108" s="94" t="s">
        <v>5782</v>
      </c>
      <c r="E108" s="94"/>
      <c r="F108" s="94"/>
      <c r="M108" t="s">
        <v>25</v>
      </c>
    </row>
    <row r="109" spans="1:28">
      <c r="A109" s="94" t="s">
        <v>5783</v>
      </c>
      <c r="E109" s="94"/>
      <c r="F109" s="94"/>
    </row>
    <row r="110" spans="1:28">
      <c r="A110" s="94" t="s">
        <v>5794</v>
      </c>
      <c r="E110" s="94"/>
      <c r="F110" s="94"/>
      <c r="V110" t="s">
        <v>25</v>
      </c>
    </row>
    <row r="111" spans="1:28">
      <c r="A111" s="94" t="s">
        <v>5795</v>
      </c>
      <c r="E111" s="94"/>
      <c r="F111" s="94"/>
    </row>
    <row r="112" spans="1:28">
      <c r="A112" s="94" t="s">
        <v>5796</v>
      </c>
      <c r="V112" t="s">
        <v>25</v>
      </c>
    </row>
    <row r="113" spans="1:25">
      <c r="A113" s="94"/>
    </row>
    <row r="114" spans="1:25">
      <c r="A114" s="94" t="s">
        <v>5787</v>
      </c>
    </row>
    <row r="115" spans="1:25">
      <c r="A115" t="s">
        <v>5788</v>
      </c>
      <c r="Y115" t="s">
        <v>25</v>
      </c>
    </row>
    <row r="116" spans="1:25">
      <c r="A116" s="94" t="s">
        <v>5789</v>
      </c>
      <c r="G116" s="94"/>
      <c r="H116" s="94"/>
      <c r="I116" s="94"/>
      <c r="J116" s="94"/>
    </row>
    <row r="117" spans="1:25">
      <c r="A117" s="94"/>
      <c r="B117" s="94"/>
      <c r="E117" s="94"/>
      <c r="F117" s="94"/>
      <c r="G117" s="94"/>
      <c r="H117" s="94"/>
      <c r="I117" s="94"/>
      <c r="J117" s="94"/>
    </row>
    <row r="118" spans="1:25">
      <c r="A118" s="94"/>
      <c r="B118" s="94"/>
      <c r="E118" s="94"/>
      <c r="F118" s="94"/>
    </row>
    <row r="119" spans="1:25">
      <c r="G119" s="432"/>
      <c r="H119" s="432"/>
      <c r="I119" s="432"/>
      <c r="J119" s="432"/>
      <c r="K119" s="94"/>
      <c r="L119" s="94"/>
      <c r="M119" s="94"/>
    </row>
    <row r="120" spans="1:25">
      <c r="A120" s="431" t="s">
        <v>4245</v>
      </c>
      <c r="B120" s="431">
        <v>17800</v>
      </c>
      <c r="C120" s="432"/>
      <c r="D120" s="432"/>
      <c r="E120" s="432"/>
      <c r="F120" s="432"/>
      <c r="G120" s="432"/>
      <c r="H120" s="432"/>
      <c r="I120" s="432"/>
      <c r="J120" s="432"/>
      <c r="K120" s="94"/>
      <c r="L120" s="94"/>
      <c r="M120" s="94"/>
    </row>
    <row r="121" spans="1:25">
      <c r="A121" s="431" t="s">
        <v>6881</v>
      </c>
      <c r="B121" s="431">
        <v>4000</v>
      </c>
      <c r="C121" s="432"/>
      <c r="D121" s="432"/>
      <c r="E121" s="432"/>
      <c r="F121" s="432"/>
      <c r="G121" s="432"/>
      <c r="H121" s="432"/>
      <c r="I121" s="432"/>
      <c r="J121" s="432"/>
    </row>
    <row r="122" spans="1:25" ht="30">
      <c r="A122" s="431" t="s">
        <v>6880</v>
      </c>
      <c r="B122" s="431">
        <v>2134</v>
      </c>
      <c r="C122" s="432"/>
      <c r="D122" s="432"/>
      <c r="E122" s="432"/>
      <c r="F122" s="432"/>
      <c r="G122" s="433" t="s">
        <v>6877</v>
      </c>
      <c r="H122" s="436" t="s">
        <v>6878</v>
      </c>
      <c r="I122" s="434" t="s">
        <v>6879</v>
      </c>
      <c r="J122" s="434" t="s">
        <v>6882</v>
      </c>
      <c r="N122" t="s">
        <v>25</v>
      </c>
    </row>
    <row r="123" spans="1:25" ht="15.75">
      <c r="A123" s="433"/>
      <c r="B123" s="431" t="s">
        <v>6875</v>
      </c>
      <c r="C123" s="431" t="s">
        <v>4829</v>
      </c>
      <c r="D123" s="431" t="s">
        <v>5836</v>
      </c>
      <c r="E123" s="433" t="s">
        <v>4216</v>
      </c>
      <c r="F123" s="433" t="s">
        <v>6876</v>
      </c>
      <c r="G123" s="435"/>
      <c r="H123" s="435"/>
      <c r="I123" s="435"/>
      <c r="J123" s="435"/>
    </row>
    <row r="124" spans="1:25" ht="15.75">
      <c r="A124" s="431" t="s">
        <v>4829</v>
      </c>
      <c r="B124" s="435">
        <v>6000000000</v>
      </c>
      <c r="C124" s="435">
        <v>0</v>
      </c>
      <c r="D124" s="435">
        <v>0</v>
      </c>
      <c r="E124" s="435">
        <v>0</v>
      </c>
      <c r="F124" s="435"/>
      <c r="G124" s="435">
        <f>F125*$B$120</f>
        <v>73465346565800</v>
      </c>
      <c r="H124" s="435">
        <f>G124/B125</f>
        <v>1813.9591744641975</v>
      </c>
      <c r="I124" s="435">
        <f>F125*$B$122/B125</f>
        <v>217.47128529812346</v>
      </c>
      <c r="J124" s="435">
        <f>F125*$B$121/B125</f>
        <v>407.63127516049383</v>
      </c>
    </row>
    <row r="125" spans="1:25" ht="15.75">
      <c r="A125" s="431" t="s">
        <v>5836</v>
      </c>
      <c r="B125" s="435">
        <v>40500000000</v>
      </c>
      <c r="C125" s="435">
        <v>4127266661</v>
      </c>
      <c r="D125" s="435">
        <v>0</v>
      </c>
      <c r="E125" s="435">
        <v>0</v>
      </c>
      <c r="F125" s="435">
        <f>C125</f>
        <v>4127266661</v>
      </c>
      <c r="G125" s="435">
        <f>F126*$B$120</f>
        <v>49884019697765.43</v>
      </c>
      <c r="H125" s="435">
        <f>G125/B126</f>
        <v>692.83360691340874</v>
      </c>
      <c r="I125" s="435">
        <f>F126*$B$122/B126</f>
        <v>83.06218635692214</v>
      </c>
      <c r="J125" s="435">
        <f>F126*$B$121/B126</f>
        <v>155.69294537379972</v>
      </c>
    </row>
    <row r="126" spans="1:25" ht="15.75">
      <c r="A126" s="431" t="s">
        <v>4216</v>
      </c>
      <c r="B126" s="435">
        <v>72000000000</v>
      </c>
      <c r="C126" s="435">
        <v>8000</v>
      </c>
      <c r="D126" s="435">
        <v>27500000000</v>
      </c>
      <c r="E126" s="435">
        <v>0</v>
      </c>
      <c r="F126" s="435">
        <f>C126+(D126/B125)*F125</f>
        <v>2802473016.728395</v>
      </c>
      <c r="G126" s="435">
        <f>F127*$B$120</f>
        <v>2127959166161.2981</v>
      </c>
      <c r="H126" s="435">
        <f>G126/B127</f>
        <v>177.3299305134415</v>
      </c>
      <c r="I126" s="435">
        <f>F127*$B$122/B127</f>
        <v>21.259666950319335</v>
      </c>
      <c r="J126" s="435">
        <f>F127*$B$121/B127</f>
        <v>39.849422587290228</v>
      </c>
    </row>
    <row r="127" spans="1:25" ht="15.75">
      <c r="A127" s="431" t="s">
        <v>4652</v>
      </c>
      <c r="B127" s="435">
        <v>12000000000</v>
      </c>
      <c r="C127" s="435">
        <v>84902942</v>
      </c>
      <c r="D127" s="435">
        <v>296603601</v>
      </c>
      <c r="E127" s="435">
        <v>113533718</v>
      </c>
      <c r="F127" s="435">
        <f>C127+(D127/B125)*F125+(E127/B126)*F126</f>
        <v>119548267.76187068</v>
      </c>
      <c r="G127" s="435">
        <f>F128*$B$120</f>
        <v>2325261683893.3311</v>
      </c>
      <c r="H127" s="435">
        <f>G127/B128</f>
        <v>77.508722796444374</v>
      </c>
      <c r="I127" s="435">
        <f>F128*$B$122/B128</f>
        <v>9.2923378903152969</v>
      </c>
      <c r="J127" s="435">
        <f>F128*$B$121/B128</f>
        <v>17.417690516054915</v>
      </c>
    </row>
    <row r="128" spans="1:25" ht="15.75">
      <c r="A128" s="431" t="s">
        <v>5261</v>
      </c>
      <c r="B128" s="435">
        <v>30000000000</v>
      </c>
      <c r="C128" s="435">
        <v>0</v>
      </c>
      <c r="D128" s="435">
        <v>0</v>
      </c>
      <c r="E128" s="435">
        <v>3356161798</v>
      </c>
      <c r="F128" s="435">
        <f>(E128/B126)*F126</f>
        <v>130632678.87041186</v>
      </c>
    </row>
    <row r="131" spans="22:23">
      <c r="W131" t="s">
        <v>25</v>
      </c>
    </row>
    <row r="140" spans="22:23">
      <c r="V140" t="s">
        <v>25</v>
      </c>
    </row>
    <row r="143" spans="22:23">
      <c r="V143" t="s">
        <v>25</v>
      </c>
    </row>
    <row r="148" spans="23:25">
      <c r="W148" t="s">
        <v>25</v>
      </c>
    </row>
    <row r="151" spans="23:25">
      <c r="Y151" t="s">
        <v>25</v>
      </c>
    </row>
    <row r="154" spans="23:25">
      <c r="X154" t="s">
        <v>25</v>
      </c>
      <c r="Y154" t="s">
        <v>25</v>
      </c>
    </row>
    <row r="158" spans="23:25">
      <c r="Y158" t="s">
        <v>25</v>
      </c>
    </row>
    <row r="161" spans="16:25">
      <c r="X161" t="s">
        <v>25</v>
      </c>
    </row>
    <row r="163" spans="16:25">
      <c r="Y163" t="s">
        <v>25</v>
      </c>
    </row>
    <row r="166" spans="16:25">
      <c r="X166" t="s">
        <v>25</v>
      </c>
    </row>
    <row r="174" spans="16:25">
      <c r="U174" t="s">
        <v>25</v>
      </c>
    </row>
    <row r="176" spans="16:25">
      <c r="P176" s="94"/>
    </row>
    <row r="177" spans="15:21">
      <c r="S177" t="s">
        <v>25</v>
      </c>
    </row>
    <row r="178" spans="15:21">
      <c r="Q178" t="s">
        <v>25</v>
      </c>
      <c r="R178" t="s">
        <v>25</v>
      </c>
    </row>
    <row r="179" spans="15:21">
      <c r="O179" t="s">
        <v>25</v>
      </c>
      <c r="R179" t="s">
        <v>25</v>
      </c>
    </row>
    <row r="180" spans="15:21">
      <c r="P180" t="s">
        <v>25</v>
      </c>
      <c r="R180" t="s">
        <v>25</v>
      </c>
    </row>
    <row r="181" spans="15:21">
      <c r="R181" t="s">
        <v>25</v>
      </c>
      <c r="U181" s="94"/>
    </row>
    <row r="182" spans="15:21">
      <c r="O182" t="s">
        <v>25</v>
      </c>
      <c r="U182" s="94"/>
    </row>
    <row r="183" spans="15:21">
      <c r="T183" t="s">
        <v>25</v>
      </c>
      <c r="U183" s="94"/>
    </row>
    <row r="184" spans="15:21">
      <c r="R184" t="s">
        <v>25</v>
      </c>
      <c r="U184" s="94"/>
    </row>
    <row r="185" spans="15:21">
      <c r="U185" s="94"/>
    </row>
    <row r="187" spans="15:21">
      <c r="Q187" s="94"/>
      <c r="R187" s="94"/>
    </row>
    <row r="188" spans="15:21">
      <c r="Q188" s="94"/>
      <c r="R188" s="94"/>
    </row>
    <row r="189" spans="15:21">
      <c r="Q189" s="94"/>
      <c r="R189" s="94"/>
      <c r="S189" s="94"/>
      <c r="T189" s="94"/>
    </row>
    <row r="190" spans="15:21">
      <c r="S190" s="94"/>
      <c r="T190" s="94"/>
    </row>
    <row r="191" spans="15:21">
      <c r="S191" s="94"/>
      <c r="T191" s="94"/>
    </row>
    <row r="192" spans="15:21">
      <c r="S192" s="94"/>
      <c r="T192" s="94"/>
    </row>
    <row r="193" spans="17:20">
      <c r="S193" s="94"/>
      <c r="T193" s="94"/>
    </row>
    <row r="200" spans="17:20">
      <c r="Q200" t="s">
        <v>25</v>
      </c>
    </row>
  </sheetData>
  <pageMargins left="0.7" right="0.7" top="0.75" bottom="0.75" header="0.3" footer="0.3"/>
  <pageSetup orientation="portrait" horizontalDpi="1200" verticalDpi="1200" r:id="rId1"/>
  <ignoredErrors>
    <ignoredError sqref="D7 F7 F5 H5 H7" formula="1"/>
  </ignoredErrors>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5266</v>
      </c>
      <c r="E1" s="97"/>
      <c r="F1" s="97"/>
      <c r="G1" s="97"/>
      <c r="H1" s="97"/>
      <c r="I1" s="97"/>
    </row>
    <row r="2" spans="1:15">
      <c r="A2" s="97">
        <v>1</v>
      </c>
      <c r="B2" s="97" t="s">
        <v>5176</v>
      </c>
      <c r="C2" s="93">
        <v>28500</v>
      </c>
      <c r="D2" s="97" t="s">
        <v>5269</v>
      </c>
      <c r="E2" s="97"/>
      <c r="F2" s="97"/>
      <c r="G2" s="97"/>
      <c r="H2" s="97"/>
      <c r="I2" s="97"/>
    </row>
    <row r="3" spans="1:15">
      <c r="A3" s="97">
        <v>2</v>
      </c>
      <c r="B3" s="97" t="s">
        <v>5203</v>
      </c>
      <c r="C3" s="93">
        <v>180200</v>
      </c>
      <c r="D3" s="97" t="s">
        <v>5268</v>
      </c>
      <c r="E3" s="97"/>
      <c r="F3" s="97"/>
      <c r="G3" s="97"/>
      <c r="H3" s="97"/>
      <c r="I3" s="97"/>
    </row>
    <row r="4" spans="1:15">
      <c r="A4" s="97">
        <v>3</v>
      </c>
      <c r="B4" s="97" t="s">
        <v>5262</v>
      </c>
      <c r="C4" s="93">
        <v>187000</v>
      </c>
      <c r="D4" s="97" t="s">
        <v>5267</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5366</v>
      </c>
      <c r="F2" s="67" t="s">
        <v>1218</v>
      </c>
      <c r="G2" s="67" t="s">
        <v>924</v>
      </c>
      <c r="H2" s="67" t="s">
        <v>5383</v>
      </c>
    </row>
    <row r="3" spans="1:8">
      <c r="A3" s="97"/>
      <c r="B3" s="97" t="s">
        <v>4358</v>
      </c>
      <c r="C3" s="97">
        <v>874</v>
      </c>
      <c r="D3" s="115">
        <v>6337102</v>
      </c>
      <c r="E3" s="115">
        <f>D3/C3</f>
        <v>7250.6887871853551</v>
      </c>
      <c r="F3" s="115">
        <f>E3*1.01</f>
        <v>7323.195675057209</v>
      </c>
      <c r="G3" s="97">
        <f>'برنامه 5 ساله'!P52</f>
        <v>19445</v>
      </c>
      <c r="H3" s="115">
        <f>C3*G3</f>
        <v>16994930</v>
      </c>
    </row>
    <row r="4" spans="1:8">
      <c r="A4" s="97"/>
      <c r="B4" s="97" t="s">
        <v>4216</v>
      </c>
      <c r="C4" s="97">
        <v>295000</v>
      </c>
      <c r="D4" s="115">
        <v>148594302</v>
      </c>
      <c r="E4" s="115">
        <f>D4/C4</f>
        <v>503.70949830508476</v>
      </c>
      <c r="F4" s="115">
        <f>E4*1.01</f>
        <v>508.74659328813561</v>
      </c>
      <c r="G4" s="97">
        <f>'برنامه 5 ساله'!P35</f>
        <v>1263</v>
      </c>
      <c r="H4" s="115">
        <f>C4*G4</f>
        <v>372585000</v>
      </c>
    </row>
    <row r="5" spans="1:8">
      <c r="A5" s="97"/>
      <c r="B5" s="97" t="s">
        <v>4371</v>
      </c>
      <c r="C5" s="97">
        <v>2850</v>
      </c>
      <c r="D5" s="115">
        <v>4015726</v>
      </c>
      <c r="E5" s="115">
        <f>D5/C5</f>
        <v>1409.0266666666666</v>
      </c>
      <c r="F5" s="115">
        <f>E5*1.01</f>
        <v>1423.1169333333332</v>
      </c>
      <c r="G5" s="97">
        <v>2600</v>
      </c>
      <c r="H5" s="115">
        <f>C5*G5</f>
        <v>7410000</v>
      </c>
    </row>
    <row r="6" spans="1:8">
      <c r="A6" s="97" t="s">
        <v>5365</v>
      </c>
      <c r="B6" s="97" t="s">
        <v>5275</v>
      </c>
      <c r="C6" s="97">
        <v>0</v>
      </c>
      <c r="D6" s="115">
        <v>683292</v>
      </c>
      <c r="E6" s="115"/>
      <c r="F6" s="115"/>
      <c r="G6" s="97">
        <v>870</v>
      </c>
      <c r="H6" s="115">
        <f>D6</f>
        <v>683292</v>
      </c>
    </row>
    <row r="7" spans="1:8">
      <c r="A7" s="97" t="s">
        <v>5365</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397944191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5383</v>
      </c>
    </row>
    <row r="17" spans="1:8">
      <c r="A17" s="97"/>
      <c r="B17" s="97" t="s">
        <v>4358</v>
      </c>
      <c r="C17" s="97">
        <v>4279</v>
      </c>
      <c r="D17" s="115">
        <v>32796123</v>
      </c>
      <c r="E17" s="115">
        <f>D17/C17</f>
        <v>7664.436316896471</v>
      </c>
      <c r="F17" s="115">
        <f>E17*1.01</f>
        <v>7741.0806800654354</v>
      </c>
      <c r="G17" s="97">
        <f>G3</f>
        <v>19445</v>
      </c>
      <c r="H17" s="115">
        <f>C17*G17</f>
        <v>83205155</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1263</v>
      </c>
      <c r="H19" s="115">
        <f>C19*G19</f>
        <v>16338168</v>
      </c>
    </row>
    <row r="20" spans="1:8">
      <c r="A20" s="97"/>
      <c r="B20" s="97" t="s">
        <v>5275</v>
      </c>
      <c r="C20" s="97">
        <v>4687</v>
      </c>
      <c r="D20" s="115">
        <v>1911597</v>
      </c>
      <c r="E20" s="115">
        <f>D20/C20</f>
        <v>407.85086409216984</v>
      </c>
      <c r="F20" s="115">
        <f>E20*1.01</f>
        <v>411.92937273309155</v>
      </c>
      <c r="G20" s="97">
        <f>G6</f>
        <v>870</v>
      </c>
      <c r="H20" s="115">
        <f>C20*G20</f>
        <v>4077690</v>
      </c>
    </row>
    <row r="21" spans="1:8">
      <c r="A21" s="97" t="s">
        <v>5365</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287101451</v>
      </c>
    </row>
    <row r="26" spans="1:8">
      <c r="D26" t="s">
        <v>5384</v>
      </c>
      <c r="E26" s="112">
        <f>'خرید خانه'!H10+'خرید خانه'!H23-'خرید خانه'!D10-'خرید خانه'!D23</f>
        <v>383345642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5"/>
  <sheetViews>
    <sheetView topLeftCell="A111" workbookViewId="0">
      <selection activeCell="E112" sqref="E112:E139"/>
    </sheetView>
  </sheetViews>
  <sheetFormatPr defaultRowHeight="15"/>
  <cols>
    <col min="1" max="1" width="16.140625" style="312" customWidth="1"/>
    <col min="2" max="2" width="19.28515625" style="312" customWidth="1"/>
    <col min="3" max="3" width="12.5703125" style="312" bestFit="1" customWidth="1"/>
    <col min="4" max="4" width="7" style="312" customWidth="1"/>
    <col min="5" max="5" width="18.85546875" style="312" bestFit="1" customWidth="1"/>
    <col min="6" max="6" width="27.42578125" style="312" bestFit="1" customWidth="1"/>
    <col min="7" max="16384" width="9.140625" style="312"/>
  </cols>
  <sheetData>
    <row r="1" spans="1:6">
      <c r="A1" s="312" t="s">
        <v>4897</v>
      </c>
    </row>
    <row r="2" spans="1:6">
      <c r="A2" s="205" t="s">
        <v>180</v>
      </c>
      <c r="B2" s="205" t="s">
        <v>267</v>
      </c>
      <c r="C2" s="205" t="s">
        <v>4895</v>
      </c>
      <c r="D2" s="205"/>
      <c r="E2" s="205"/>
      <c r="F2" s="205"/>
    </row>
    <row r="3" spans="1:6">
      <c r="A3" s="205" t="s">
        <v>4888</v>
      </c>
      <c r="B3" s="18">
        <v>7500000</v>
      </c>
      <c r="C3" s="205">
        <v>4</v>
      </c>
      <c r="D3" s="205">
        <f t="shared" ref="D3:D34" si="0">C3+D4</f>
        <v>1001</v>
      </c>
      <c r="E3" s="205">
        <f t="shared" ref="E3:E34" si="1">B3*D3</f>
        <v>7507500000</v>
      </c>
      <c r="F3" s="205"/>
    </row>
    <row r="4" spans="1:6">
      <c r="A4" s="205" t="s">
        <v>4894</v>
      </c>
      <c r="B4" s="18">
        <v>-500000</v>
      </c>
      <c r="C4" s="205">
        <v>7</v>
      </c>
      <c r="D4" s="205">
        <f t="shared" si="0"/>
        <v>997</v>
      </c>
      <c r="E4" s="205">
        <f t="shared" si="1"/>
        <v>-498500000</v>
      </c>
      <c r="F4" s="205"/>
    </row>
    <row r="5" spans="1:6">
      <c r="A5" s="205" t="s">
        <v>4902</v>
      </c>
      <c r="B5" s="18">
        <v>-7000000</v>
      </c>
      <c r="C5" s="205">
        <v>1</v>
      </c>
      <c r="D5" s="205">
        <f t="shared" si="0"/>
        <v>990</v>
      </c>
      <c r="E5" s="205">
        <f t="shared" si="1"/>
        <v>-6930000000</v>
      </c>
      <c r="F5" s="205"/>
    </row>
    <row r="6" spans="1:6">
      <c r="A6" s="205" t="s">
        <v>4905</v>
      </c>
      <c r="B6" s="18">
        <v>2000000</v>
      </c>
      <c r="C6" s="205">
        <v>6</v>
      </c>
      <c r="D6" s="205">
        <f t="shared" si="0"/>
        <v>989</v>
      </c>
      <c r="E6" s="205">
        <f t="shared" si="1"/>
        <v>1978000000</v>
      </c>
      <c r="F6" s="205"/>
    </row>
    <row r="7" spans="1:6">
      <c r="A7" s="205" t="s">
        <v>4917</v>
      </c>
      <c r="B7" s="18">
        <v>1000000</v>
      </c>
      <c r="C7" s="205">
        <v>3</v>
      </c>
      <c r="D7" s="205">
        <f t="shared" si="0"/>
        <v>983</v>
      </c>
      <c r="E7" s="205">
        <f t="shared" si="1"/>
        <v>983000000</v>
      </c>
      <c r="F7" s="205"/>
    </row>
    <row r="8" spans="1:6">
      <c r="A8" s="205" t="s">
        <v>4924</v>
      </c>
      <c r="B8" s="18">
        <v>200000</v>
      </c>
      <c r="C8" s="205">
        <v>3</v>
      </c>
      <c r="D8" s="205">
        <f t="shared" si="0"/>
        <v>980</v>
      </c>
      <c r="E8" s="205">
        <f t="shared" si="1"/>
        <v>196000000</v>
      </c>
      <c r="F8" s="205"/>
    </row>
    <row r="9" spans="1:6">
      <c r="A9" s="205" t="s">
        <v>4927</v>
      </c>
      <c r="B9" s="18">
        <v>-3200000</v>
      </c>
      <c r="C9" s="205">
        <v>6</v>
      </c>
      <c r="D9" s="205">
        <f t="shared" si="0"/>
        <v>977</v>
      </c>
      <c r="E9" s="205">
        <f t="shared" si="1"/>
        <v>-3126400000</v>
      </c>
      <c r="F9" s="205"/>
    </row>
    <row r="10" spans="1:6">
      <c r="A10" s="205" t="s">
        <v>4939</v>
      </c>
      <c r="B10" s="18">
        <v>6000000</v>
      </c>
      <c r="C10" s="205">
        <v>1</v>
      </c>
      <c r="D10" s="205">
        <f t="shared" si="0"/>
        <v>971</v>
      </c>
      <c r="E10" s="205">
        <f t="shared" si="1"/>
        <v>5826000000</v>
      </c>
      <c r="F10" s="205"/>
    </row>
    <row r="11" spans="1:6">
      <c r="A11" s="205" t="s">
        <v>4940</v>
      </c>
      <c r="B11" s="18">
        <v>2000000</v>
      </c>
      <c r="C11" s="205">
        <v>3</v>
      </c>
      <c r="D11" s="205">
        <f t="shared" si="0"/>
        <v>970</v>
      </c>
      <c r="E11" s="205">
        <f t="shared" si="1"/>
        <v>1940000000</v>
      </c>
      <c r="F11" s="205"/>
    </row>
    <row r="12" spans="1:6">
      <c r="A12" s="205" t="s">
        <v>4947</v>
      </c>
      <c r="B12" s="18">
        <v>-50000</v>
      </c>
      <c r="C12" s="205">
        <v>7</v>
      </c>
      <c r="D12" s="205">
        <f t="shared" si="0"/>
        <v>967</v>
      </c>
      <c r="E12" s="205">
        <f t="shared" si="1"/>
        <v>-48350000</v>
      </c>
      <c r="F12" s="205"/>
    </row>
    <row r="13" spans="1:6">
      <c r="A13" s="205" t="s">
        <v>4953</v>
      </c>
      <c r="B13" s="18">
        <v>-2480000</v>
      </c>
      <c r="C13" s="205">
        <v>5</v>
      </c>
      <c r="D13" s="205">
        <f t="shared" si="0"/>
        <v>960</v>
      </c>
      <c r="E13" s="205">
        <f t="shared" si="1"/>
        <v>-2380800000</v>
      </c>
      <c r="F13" s="205"/>
    </row>
    <row r="14" spans="1:6">
      <c r="A14" s="205" t="s">
        <v>4961</v>
      </c>
      <c r="B14" s="18">
        <v>300000</v>
      </c>
      <c r="C14" s="205">
        <v>1</v>
      </c>
      <c r="D14" s="205">
        <f t="shared" si="0"/>
        <v>955</v>
      </c>
      <c r="E14" s="205">
        <f t="shared" si="1"/>
        <v>286500000</v>
      </c>
      <c r="F14" s="205"/>
    </row>
    <row r="15" spans="1:6">
      <c r="A15" s="205" t="s">
        <v>4210</v>
      </c>
      <c r="B15" s="18">
        <v>300000</v>
      </c>
      <c r="C15" s="205">
        <v>6</v>
      </c>
      <c r="D15" s="205">
        <f t="shared" si="0"/>
        <v>954</v>
      </c>
      <c r="E15" s="205">
        <f t="shared" si="1"/>
        <v>286200000</v>
      </c>
      <c r="F15" s="205"/>
    </row>
    <row r="16" spans="1:6">
      <c r="A16" s="205" t="s">
        <v>4970</v>
      </c>
      <c r="B16" s="18">
        <v>500000</v>
      </c>
      <c r="C16" s="205">
        <v>2</v>
      </c>
      <c r="D16" s="205">
        <f t="shared" si="0"/>
        <v>948</v>
      </c>
      <c r="E16" s="205">
        <f t="shared" si="1"/>
        <v>474000000</v>
      </c>
      <c r="F16" s="205"/>
    </row>
    <row r="17" spans="1:6">
      <c r="A17" s="205" t="s">
        <v>4976</v>
      </c>
      <c r="B17" s="18">
        <v>100000</v>
      </c>
      <c r="C17" s="205">
        <v>1</v>
      </c>
      <c r="D17" s="205">
        <f t="shared" si="0"/>
        <v>946</v>
      </c>
      <c r="E17" s="205">
        <f t="shared" si="1"/>
        <v>94600000</v>
      </c>
      <c r="F17" s="205"/>
    </row>
    <row r="18" spans="1:6">
      <c r="A18" s="205" t="s">
        <v>4977</v>
      </c>
      <c r="B18" s="18">
        <v>-6423626</v>
      </c>
      <c r="C18" s="205">
        <v>1</v>
      </c>
      <c r="D18" s="205">
        <f t="shared" si="0"/>
        <v>945</v>
      </c>
      <c r="E18" s="205">
        <f t="shared" si="1"/>
        <v>-6070326570</v>
      </c>
      <c r="F18" s="205"/>
    </row>
    <row r="19" spans="1:6">
      <c r="A19" s="205" t="s">
        <v>4980</v>
      </c>
      <c r="B19" s="18">
        <v>-4592486</v>
      </c>
      <c r="C19" s="205">
        <v>0</v>
      </c>
      <c r="D19" s="205">
        <f t="shared" si="0"/>
        <v>944</v>
      </c>
      <c r="E19" s="205">
        <f t="shared" si="1"/>
        <v>-4335306784</v>
      </c>
      <c r="F19" s="205"/>
    </row>
    <row r="20" spans="1:6">
      <c r="A20" s="205" t="s">
        <v>4980</v>
      </c>
      <c r="B20" s="18">
        <v>4346112</v>
      </c>
      <c r="C20" s="205">
        <v>11</v>
      </c>
      <c r="D20" s="205">
        <f t="shared" si="0"/>
        <v>944</v>
      </c>
      <c r="E20" s="205">
        <f t="shared" si="1"/>
        <v>4102729728</v>
      </c>
      <c r="F20" s="205"/>
    </row>
    <row r="21" spans="1:6">
      <c r="A21" s="205" t="s">
        <v>4993</v>
      </c>
      <c r="B21" s="18">
        <v>1500000</v>
      </c>
      <c r="C21" s="205">
        <v>16</v>
      </c>
      <c r="D21" s="205">
        <f t="shared" si="0"/>
        <v>933</v>
      </c>
      <c r="E21" s="205">
        <f t="shared" si="1"/>
        <v>1399500000</v>
      </c>
      <c r="F21" s="205"/>
    </row>
    <row r="22" spans="1:6">
      <c r="A22" s="205" t="s">
        <v>4983</v>
      </c>
      <c r="B22" s="18">
        <v>6000000</v>
      </c>
      <c r="C22" s="205">
        <v>8</v>
      </c>
      <c r="D22" s="205">
        <f t="shared" si="0"/>
        <v>917</v>
      </c>
      <c r="E22" s="205">
        <f t="shared" si="1"/>
        <v>5502000000</v>
      </c>
      <c r="F22" s="205"/>
    </row>
    <row r="23" spans="1:6">
      <c r="A23" s="205" t="s">
        <v>5033</v>
      </c>
      <c r="B23" s="18">
        <v>-50000</v>
      </c>
      <c r="C23" s="205">
        <v>3</v>
      </c>
      <c r="D23" s="205">
        <f t="shared" si="0"/>
        <v>909</v>
      </c>
      <c r="E23" s="205">
        <f t="shared" si="1"/>
        <v>-45450000</v>
      </c>
      <c r="F23" s="205"/>
    </row>
    <row r="24" spans="1:6">
      <c r="A24" s="205" t="s">
        <v>5036</v>
      </c>
      <c r="B24" s="18">
        <v>-20000</v>
      </c>
      <c r="C24" s="205">
        <v>7</v>
      </c>
      <c r="D24" s="205">
        <f t="shared" si="0"/>
        <v>906</v>
      </c>
      <c r="E24" s="205">
        <f t="shared" si="1"/>
        <v>-18120000</v>
      </c>
      <c r="F24" s="205"/>
    </row>
    <row r="25" spans="1:6">
      <c r="A25" s="205" t="s">
        <v>4995</v>
      </c>
      <c r="B25" s="18">
        <v>6000000</v>
      </c>
      <c r="C25" s="205">
        <v>1</v>
      </c>
      <c r="D25" s="205">
        <f t="shared" si="0"/>
        <v>899</v>
      </c>
      <c r="E25" s="205">
        <f t="shared" si="1"/>
        <v>5394000000</v>
      </c>
      <c r="F25" s="205"/>
    </row>
    <row r="26" spans="1:6">
      <c r="A26" s="205" t="s">
        <v>5052</v>
      </c>
      <c r="B26" s="18">
        <v>-2302282</v>
      </c>
      <c r="C26" s="205">
        <v>6</v>
      </c>
      <c r="D26" s="205">
        <f t="shared" si="0"/>
        <v>898</v>
      </c>
      <c r="E26" s="205">
        <f t="shared" si="1"/>
        <v>-2067449236</v>
      </c>
      <c r="F26" s="205"/>
    </row>
    <row r="27" spans="1:6">
      <c r="A27" s="205" t="s">
        <v>5057</v>
      </c>
      <c r="B27" s="18">
        <v>100000</v>
      </c>
      <c r="C27" s="205">
        <v>1</v>
      </c>
      <c r="D27" s="205">
        <f t="shared" si="0"/>
        <v>892</v>
      </c>
      <c r="E27" s="205">
        <f t="shared" si="1"/>
        <v>89200000</v>
      </c>
      <c r="F27" s="205"/>
    </row>
    <row r="28" spans="1:6">
      <c r="A28" s="205" t="s">
        <v>5060</v>
      </c>
      <c r="B28" s="18">
        <v>-1727718</v>
      </c>
      <c r="C28" s="205">
        <v>2</v>
      </c>
      <c r="D28" s="205">
        <f t="shared" si="0"/>
        <v>891</v>
      </c>
      <c r="E28" s="205">
        <f t="shared" si="1"/>
        <v>-1539396738</v>
      </c>
      <c r="F28" s="205"/>
    </row>
    <row r="29" spans="1:6">
      <c r="A29" s="205" t="s">
        <v>5064</v>
      </c>
      <c r="B29" s="18">
        <v>-1000000</v>
      </c>
      <c r="C29" s="205">
        <v>0</v>
      </c>
      <c r="D29" s="205">
        <f t="shared" si="0"/>
        <v>889</v>
      </c>
      <c r="E29" s="205">
        <f t="shared" si="1"/>
        <v>-889000000</v>
      </c>
      <c r="F29" s="205"/>
    </row>
    <row r="30" spans="1:6">
      <c r="A30" s="205" t="s">
        <v>5064</v>
      </c>
      <c r="B30" s="18">
        <v>-439200</v>
      </c>
      <c r="C30" s="205">
        <v>1</v>
      </c>
      <c r="D30" s="205">
        <f t="shared" si="0"/>
        <v>889</v>
      </c>
      <c r="E30" s="205">
        <f t="shared" si="1"/>
        <v>-390448800</v>
      </c>
      <c r="F30" s="205"/>
    </row>
    <row r="31" spans="1:6">
      <c r="A31" s="205" t="s">
        <v>5067</v>
      </c>
      <c r="B31" s="18">
        <v>-3631879</v>
      </c>
      <c r="C31" s="205">
        <v>3</v>
      </c>
      <c r="D31" s="205">
        <f t="shared" si="0"/>
        <v>888</v>
      </c>
      <c r="E31" s="205">
        <f t="shared" si="1"/>
        <v>-3225108552</v>
      </c>
      <c r="F31" s="205"/>
    </row>
    <row r="32" spans="1:6">
      <c r="A32" s="205" t="s">
        <v>5092</v>
      </c>
      <c r="B32" s="18">
        <v>-2428921</v>
      </c>
      <c r="C32" s="205">
        <v>9</v>
      </c>
      <c r="D32" s="205">
        <f t="shared" si="0"/>
        <v>885</v>
      </c>
      <c r="E32" s="205">
        <f t="shared" si="1"/>
        <v>-2149595085</v>
      </c>
      <c r="F32" s="205"/>
    </row>
    <row r="33" spans="1:6">
      <c r="A33" s="205" t="s">
        <v>5111</v>
      </c>
      <c r="B33" s="18">
        <v>-500000</v>
      </c>
      <c r="C33" s="205">
        <v>1</v>
      </c>
      <c r="D33" s="205">
        <f t="shared" si="0"/>
        <v>876</v>
      </c>
      <c r="E33" s="205">
        <f t="shared" si="1"/>
        <v>-438000000</v>
      </c>
      <c r="F33" s="205"/>
    </row>
    <row r="34" spans="1:6">
      <c r="A34" s="205" t="s">
        <v>5112</v>
      </c>
      <c r="B34" s="18">
        <v>-2603</v>
      </c>
      <c r="C34" s="205">
        <v>0</v>
      </c>
      <c r="D34" s="205">
        <f t="shared" si="0"/>
        <v>875</v>
      </c>
      <c r="E34" s="205">
        <f t="shared" si="1"/>
        <v>-2277625</v>
      </c>
      <c r="F34" s="205" t="s">
        <v>5113</v>
      </c>
    </row>
    <row r="35" spans="1:6">
      <c r="A35" s="205" t="s">
        <v>5112</v>
      </c>
      <c r="B35" s="18">
        <v>-250000</v>
      </c>
      <c r="C35" s="205">
        <v>7</v>
      </c>
      <c r="D35" s="205">
        <f t="shared" ref="D35:D66" si="2">C35+D36</f>
        <v>875</v>
      </c>
      <c r="E35" s="205">
        <f t="shared" ref="E35:E66" si="3">B35*D35</f>
        <v>-218750000</v>
      </c>
      <c r="F35" s="205"/>
    </row>
    <row r="36" spans="1:6">
      <c r="A36" s="205" t="s">
        <v>4253</v>
      </c>
      <c r="B36" s="18">
        <v>185749</v>
      </c>
      <c r="C36" s="205">
        <v>5</v>
      </c>
      <c r="D36" s="205">
        <f t="shared" si="2"/>
        <v>868</v>
      </c>
      <c r="E36" s="205">
        <f t="shared" si="3"/>
        <v>161230132</v>
      </c>
      <c r="F36" s="205"/>
    </row>
    <row r="37" spans="1:6">
      <c r="A37" s="205" t="s">
        <v>5126</v>
      </c>
      <c r="B37" s="18">
        <v>300000</v>
      </c>
      <c r="C37" s="205">
        <v>3</v>
      </c>
      <c r="D37" s="205">
        <f t="shared" si="2"/>
        <v>863</v>
      </c>
      <c r="E37" s="205">
        <f t="shared" si="3"/>
        <v>258900000</v>
      </c>
      <c r="F37" s="205"/>
    </row>
    <row r="38" spans="1:6">
      <c r="A38" s="205" t="s">
        <v>5132</v>
      </c>
      <c r="B38" s="18">
        <v>-50000</v>
      </c>
      <c r="C38" s="205">
        <v>3</v>
      </c>
      <c r="D38" s="205">
        <f t="shared" si="2"/>
        <v>860</v>
      </c>
      <c r="E38" s="205">
        <f t="shared" si="3"/>
        <v>-43000000</v>
      </c>
      <c r="F38" s="205"/>
    </row>
    <row r="39" spans="1:6">
      <c r="A39" s="205" t="s">
        <v>5137</v>
      </c>
      <c r="B39" s="18">
        <v>-1683146</v>
      </c>
      <c r="C39" s="205">
        <v>10</v>
      </c>
      <c r="D39" s="205">
        <f t="shared" si="2"/>
        <v>857</v>
      </c>
      <c r="E39" s="205">
        <f t="shared" si="3"/>
        <v>-1442456122</v>
      </c>
      <c r="F39" s="205"/>
    </row>
    <row r="40" spans="1:6">
      <c r="A40" s="205" t="s">
        <v>5149</v>
      </c>
      <c r="B40" s="18">
        <v>700000</v>
      </c>
      <c r="C40" s="205">
        <v>18</v>
      </c>
      <c r="D40" s="205">
        <f t="shared" si="2"/>
        <v>847</v>
      </c>
      <c r="E40" s="205">
        <f t="shared" si="3"/>
        <v>592900000</v>
      </c>
      <c r="F40" s="205"/>
    </row>
    <row r="41" spans="1:6">
      <c r="A41" s="205" t="s">
        <v>5162</v>
      </c>
      <c r="B41" s="18">
        <v>-700000</v>
      </c>
      <c r="C41" s="205">
        <v>46</v>
      </c>
      <c r="D41" s="205">
        <f t="shared" si="2"/>
        <v>829</v>
      </c>
      <c r="E41" s="205">
        <f t="shared" si="3"/>
        <v>-580300000</v>
      </c>
      <c r="F41" s="205"/>
    </row>
    <row r="42" spans="1:6">
      <c r="A42" s="205" t="s">
        <v>5212</v>
      </c>
      <c r="B42" s="18">
        <v>1000000</v>
      </c>
      <c r="C42" s="205">
        <v>4</v>
      </c>
      <c r="D42" s="205">
        <f t="shared" si="2"/>
        <v>783</v>
      </c>
      <c r="E42" s="205">
        <f t="shared" si="3"/>
        <v>783000000</v>
      </c>
      <c r="F42" s="205"/>
    </row>
    <row r="43" spans="1:6">
      <c r="A43" s="205" t="s">
        <v>5216</v>
      </c>
      <c r="B43" s="18">
        <v>1500000</v>
      </c>
      <c r="C43" s="205">
        <v>1</v>
      </c>
      <c r="D43" s="205">
        <f t="shared" si="2"/>
        <v>779</v>
      </c>
      <c r="E43" s="205">
        <f t="shared" si="3"/>
        <v>1168500000</v>
      </c>
      <c r="F43" s="205"/>
    </row>
    <row r="44" spans="1:6">
      <c r="A44" s="205" t="s">
        <v>5217</v>
      </c>
      <c r="B44" s="18">
        <v>-1500000</v>
      </c>
      <c r="C44" s="205">
        <v>15</v>
      </c>
      <c r="D44" s="205">
        <f t="shared" si="2"/>
        <v>778</v>
      </c>
      <c r="E44" s="205">
        <f t="shared" si="3"/>
        <v>-1167000000</v>
      </c>
      <c r="F44" s="205"/>
    </row>
    <row r="45" spans="1:6">
      <c r="A45" s="205" t="s">
        <v>5240</v>
      </c>
      <c r="B45" s="18">
        <v>-100000</v>
      </c>
      <c r="C45" s="205">
        <v>5</v>
      </c>
      <c r="D45" s="205">
        <f t="shared" si="2"/>
        <v>763</v>
      </c>
      <c r="E45" s="205">
        <f t="shared" si="3"/>
        <v>-76300000</v>
      </c>
      <c r="F45" s="205"/>
    </row>
    <row r="46" spans="1:6">
      <c r="A46" s="205" t="s">
        <v>5244</v>
      </c>
      <c r="B46" s="18">
        <v>1164690</v>
      </c>
      <c r="C46" s="205">
        <v>4</v>
      </c>
      <c r="D46" s="205">
        <f t="shared" si="2"/>
        <v>758</v>
      </c>
      <c r="E46" s="205">
        <f t="shared" si="3"/>
        <v>882835020</v>
      </c>
      <c r="F46" s="205"/>
    </row>
    <row r="47" spans="1:6">
      <c r="A47" s="205" t="s">
        <v>5253</v>
      </c>
      <c r="B47" s="18">
        <v>1000000</v>
      </c>
      <c r="C47" s="205">
        <v>4</v>
      </c>
      <c r="D47" s="205">
        <f t="shared" si="2"/>
        <v>754</v>
      </c>
      <c r="E47" s="205">
        <f t="shared" si="3"/>
        <v>754000000</v>
      </c>
      <c r="F47" s="205"/>
    </row>
    <row r="48" spans="1:6">
      <c r="A48" s="205" t="s">
        <v>5258</v>
      </c>
      <c r="B48" s="18">
        <v>-264690</v>
      </c>
      <c r="C48" s="205">
        <v>7</v>
      </c>
      <c r="D48" s="205">
        <f t="shared" si="2"/>
        <v>750</v>
      </c>
      <c r="E48" s="205">
        <f t="shared" si="3"/>
        <v>-198517500</v>
      </c>
      <c r="F48" s="205"/>
    </row>
    <row r="49" spans="1:6">
      <c r="A49" s="205" t="s">
        <v>5274</v>
      </c>
      <c r="B49" s="18">
        <v>2700000</v>
      </c>
      <c r="C49" s="205">
        <v>0</v>
      </c>
      <c r="D49" s="205">
        <f t="shared" si="2"/>
        <v>743</v>
      </c>
      <c r="E49" s="205">
        <f t="shared" si="3"/>
        <v>2006100000</v>
      </c>
      <c r="F49" s="205"/>
    </row>
    <row r="50" spans="1:6">
      <c r="A50" s="205" t="s">
        <v>5274</v>
      </c>
      <c r="B50" s="18">
        <v>-1000000</v>
      </c>
      <c r="C50" s="205">
        <v>1</v>
      </c>
      <c r="D50" s="205">
        <f t="shared" si="2"/>
        <v>743</v>
      </c>
      <c r="E50" s="205">
        <f t="shared" si="3"/>
        <v>-743000000</v>
      </c>
      <c r="F50" s="205" t="s">
        <v>5276</v>
      </c>
    </row>
    <row r="51" spans="1:6">
      <c r="A51" s="205" t="s">
        <v>5278</v>
      </c>
      <c r="B51" s="18">
        <v>-75616</v>
      </c>
      <c r="C51" s="205">
        <v>2</v>
      </c>
      <c r="D51" s="205">
        <f t="shared" si="2"/>
        <v>742</v>
      </c>
      <c r="E51" s="205">
        <f t="shared" si="3"/>
        <v>-56107072</v>
      </c>
      <c r="F51" s="205" t="s">
        <v>5279</v>
      </c>
    </row>
    <row r="52" spans="1:6">
      <c r="A52" s="205" t="s">
        <v>961</v>
      </c>
      <c r="B52" s="18">
        <v>-2424384</v>
      </c>
      <c r="C52" s="205">
        <v>2</v>
      </c>
      <c r="D52" s="205">
        <f t="shared" si="2"/>
        <v>740</v>
      </c>
      <c r="E52" s="205">
        <f t="shared" si="3"/>
        <v>-1794044160</v>
      </c>
      <c r="F52" s="205"/>
    </row>
    <row r="53" spans="1:6">
      <c r="A53" s="205" t="s">
        <v>5292</v>
      </c>
      <c r="B53" s="18">
        <v>-2000000</v>
      </c>
      <c r="C53" s="205">
        <v>6</v>
      </c>
      <c r="D53" s="205">
        <f t="shared" si="2"/>
        <v>738</v>
      </c>
      <c r="E53" s="205">
        <f t="shared" si="3"/>
        <v>-1476000000</v>
      </c>
      <c r="F53" s="205"/>
    </row>
    <row r="54" spans="1:6">
      <c r="A54" s="205" t="s">
        <v>5324</v>
      </c>
      <c r="B54" s="18">
        <v>2500000</v>
      </c>
      <c r="C54" s="205">
        <v>1</v>
      </c>
      <c r="D54" s="205">
        <f t="shared" si="2"/>
        <v>732</v>
      </c>
      <c r="E54" s="205">
        <f t="shared" si="3"/>
        <v>1830000000</v>
      </c>
      <c r="F54" s="205"/>
    </row>
    <row r="55" spans="1:6">
      <c r="A55" s="205" t="s">
        <v>5327</v>
      </c>
      <c r="B55" s="18">
        <v>3000000</v>
      </c>
      <c r="C55" s="205">
        <v>3</v>
      </c>
      <c r="D55" s="205">
        <f t="shared" si="2"/>
        <v>731</v>
      </c>
      <c r="E55" s="205">
        <f t="shared" si="3"/>
        <v>2193000000</v>
      </c>
      <c r="F55" s="205"/>
    </row>
    <row r="56" spans="1:6">
      <c r="A56" s="205" t="s">
        <v>5333</v>
      </c>
      <c r="B56" s="18">
        <v>-300000</v>
      </c>
      <c r="C56" s="205">
        <v>5</v>
      </c>
      <c r="D56" s="205">
        <f t="shared" si="2"/>
        <v>728</v>
      </c>
      <c r="E56" s="205">
        <f t="shared" si="3"/>
        <v>-218400000</v>
      </c>
      <c r="F56" s="205"/>
    </row>
    <row r="57" spans="1:6">
      <c r="A57" s="205" t="s">
        <v>5344</v>
      </c>
      <c r="B57" s="18">
        <v>500000</v>
      </c>
      <c r="C57" s="205">
        <v>1</v>
      </c>
      <c r="D57" s="205">
        <f t="shared" si="2"/>
        <v>723</v>
      </c>
      <c r="E57" s="205">
        <f t="shared" si="3"/>
        <v>361500000</v>
      </c>
      <c r="F57" s="205"/>
    </row>
    <row r="58" spans="1:6">
      <c r="A58" s="205" t="s">
        <v>5346</v>
      </c>
      <c r="B58" s="18">
        <v>1000000</v>
      </c>
      <c r="C58" s="205">
        <v>5</v>
      </c>
      <c r="D58" s="205">
        <f t="shared" si="2"/>
        <v>722</v>
      </c>
      <c r="E58" s="205">
        <f t="shared" si="3"/>
        <v>722000000</v>
      </c>
      <c r="F58" s="205"/>
    </row>
    <row r="59" spans="1:6">
      <c r="A59" s="205" t="s">
        <v>5351</v>
      </c>
      <c r="B59" s="18">
        <v>-2700000</v>
      </c>
      <c r="C59" s="205">
        <v>1</v>
      </c>
      <c r="D59" s="205">
        <f t="shared" si="2"/>
        <v>717</v>
      </c>
      <c r="E59" s="205">
        <f t="shared" si="3"/>
        <v>-1935900000</v>
      </c>
      <c r="F59" s="205"/>
    </row>
    <row r="60" spans="1:6">
      <c r="A60" s="205" t="s">
        <v>5352</v>
      </c>
      <c r="B60" s="18">
        <v>-3600000</v>
      </c>
      <c r="C60" s="205">
        <v>1</v>
      </c>
      <c r="D60" s="205">
        <f t="shared" si="2"/>
        <v>716</v>
      </c>
      <c r="E60" s="205">
        <f t="shared" si="3"/>
        <v>-2577600000</v>
      </c>
      <c r="F60" s="205"/>
    </row>
    <row r="61" spans="1:6">
      <c r="A61" s="205" t="s">
        <v>985</v>
      </c>
      <c r="B61" s="18">
        <v>-400000</v>
      </c>
      <c r="C61" s="205">
        <v>17</v>
      </c>
      <c r="D61" s="205">
        <f t="shared" si="2"/>
        <v>715</v>
      </c>
      <c r="E61" s="205">
        <f t="shared" si="3"/>
        <v>-286000000</v>
      </c>
      <c r="F61" s="205"/>
    </row>
    <row r="62" spans="1:6">
      <c r="A62" s="205" t="s">
        <v>5372</v>
      </c>
      <c r="B62" s="18">
        <v>1000000</v>
      </c>
      <c r="C62" s="205">
        <v>20</v>
      </c>
      <c r="D62" s="205">
        <f t="shared" si="2"/>
        <v>698</v>
      </c>
      <c r="E62" s="205">
        <f t="shared" si="3"/>
        <v>698000000</v>
      </c>
      <c r="F62" s="205"/>
    </row>
    <row r="63" spans="1:6">
      <c r="A63" s="205" t="s">
        <v>5391</v>
      </c>
      <c r="B63" s="18">
        <v>-1000000</v>
      </c>
      <c r="C63" s="205">
        <v>25</v>
      </c>
      <c r="D63" s="205">
        <f t="shared" si="2"/>
        <v>678</v>
      </c>
      <c r="E63" s="205">
        <f t="shared" si="3"/>
        <v>-678000000</v>
      </c>
      <c r="F63" s="205"/>
    </row>
    <row r="64" spans="1:6">
      <c r="A64" s="205" t="s">
        <v>5420</v>
      </c>
      <c r="B64" s="18">
        <v>300000</v>
      </c>
      <c r="C64" s="205">
        <v>3</v>
      </c>
      <c r="D64" s="205">
        <f t="shared" si="2"/>
        <v>653</v>
      </c>
      <c r="E64" s="205">
        <f t="shared" si="3"/>
        <v>195900000</v>
      </c>
      <c r="F64" s="205"/>
    </row>
    <row r="65" spans="1:6">
      <c r="A65" s="205" t="s">
        <v>5425</v>
      </c>
      <c r="B65" s="18">
        <v>-300000</v>
      </c>
      <c r="C65" s="205">
        <v>9</v>
      </c>
      <c r="D65" s="205">
        <f t="shared" si="2"/>
        <v>650</v>
      </c>
      <c r="E65" s="205">
        <f t="shared" si="3"/>
        <v>-195000000</v>
      </c>
      <c r="F65" s="205"/>
    </row>
    <row r="66" spans="1:6">
      <c r="A66" s="205" t="s">
        <v>5440</v>
      </c>
      <c r="B66" s="18">
        <v>1000000</v>
      </c>
      <c r="C66" s="205">
        <v>24</v>
      </c>
      <c r="D66" s="205">
        <f t="shared" si="2"/>
        <v>641</v>
      </c>
      <c r="E66" s="205">
        <f t="shared" si="3"/>
        <v>641000000</v>
      </c>
      <c r="F66" s="205"/>
    </row>
    <row r="67" spans="1:6">
      <c r="A67" s="205" t="s">
        <v>5477</v>
      </c>
      <c r="B67" s="18">
        <v>-1380100</v>
      </c>
      <c r="C67" s="205">
        <v>11</v>
      </c>
      <c r="D67" s="205">
        <f t="shared" ref="D67:D98" si="4">C67+D68</f>
        <v>617</v>
      </c>
      <c r="E67" s="205">
        <f t="shared" ref="E67:E98" si="5">B67*D67</f>
        <v>-851521700</v>
      </c>
      <c r="F67" s="205"/>
    </row>
    <row r="68" spans="1:6">
      <c r="A68" s="205" t="s">
        <v>5491</v>
      </c>
      <c r="B68" s="18">
        <v>1280015</v>
      </c>
      <c r="C68" s="205">
        <v>0</v>
      </c>
      <c r="D68" s="205">
        <f t="shared" si="4"/>
        <v>606</v>
      </c>
      <c r="E68" s="205">
        <f t="shared" si="5"/>
        <v>775689090</v>
      </c>
      <c r="F68" s="205"/>
    </row>
    <row r="69" spans="1:6">
      <c r="A69" s="205" t="s">
        <v>5491</v>
      </c>
      <c r="B69" s="18">
        <v>300000</v>
      </c>
      <c r="C69" s="205">
        <v>7</v>
      </c>
      <c r="D69" s="205">
        <f t="shared" si="4"/>
        <v>606</v>
      </c>
      <c r="E69" s="205">
        <f t="shared" si="5"/>
        <v>181800000</v>
      </c>
      <c r="F69" s="205"/>
    </row>
    <row r="70" spans="1:6">
      <c r="A70" s="205" t="s">
        <v>5498</v>
      </c>
      <c r="B70" s="18">
        <v>3000000</v>
      </c>
      <c r="C70" s="205">
        <v>3</v>
      </c>
      <c r="D70" s="205">
        <f t="shared" si="4"/>
        <v>599</v>
      </c>
      <c r="E70" s="205">
        <f t="shared" si="5"/>
        <v>1797000000</v>
      </c>
      <c r="F70" s="205"/>
    </row>
    <row r="71" spans="1:6">
      <c r="A71" s="205" t="s">
        <v>5516</v>
      </c>
      <c r="B71" s="18">
        <v>300000</v>
      </c>
      <c r="C71" s="205">
        <v>8</v>
      </c>
      <c r="D71" s="205">
        <f t="shared" si="4"/>
        <v>596</v>
      </c>
      <c r="E71" s="205">
        <f t="shared" si="5"/>
        <v>178800000</v>
      </c>
      <c r="F71" s="205"/>
    </row>
    <row r="72" spans="1:6">
      <c r="A72" s="205" t="s">
        <v>5537</v>
      </c>
      <c r="B72" s="18">
        <v>-3500000</v>
      </c>
      <c r="C72" s="205">
        <v>6</v>
      </c>
      <c r="D72" s="205">
        <f t="shared" si="4"/>
        <v>588</v>
      </c>
      <c r="E72" s="205">
        <f t="shared" si="5"/>
        <v>-2058000000</v>
      </c>
      <c r="F72" s="205"/>
    </row>
    <row r="73" spans="1:6">
      <c r="A73" s="205" t="s">
        <v>5542</v>
      </c>
      <c r="B73" s="18">
        <v>-70000</v>
      </c>
      <c r="C73" s="205">
        <v>1</v>
      </c>
      <c r="D73" s="205">
        <f t="shared" si="4"/>
        <v>582</v>
      </c>
      <c r="E73" s="205">
        <f t="shared" si="5"/>
        <v>-40740000</v>
      </c>
      <c r="F73" s="205"/>
    </row>
    <row r="74" spans="1:6">
      <c r="A74" s="205" t="s">
        <v>5546</v>
      </c>
      <c r="B74" s="18">
        <v>70085</v>
      </c>
      <c r="C74" s="205">
        <v>7</v>
      </c>
      <c r="D74" s="205">
        <f t="shared" si="4"/>
        <v>581</v>
      </c>
      <c r="E74" s="205">
        <f t="shared" si="5"/>
        <v>40719385</v>
      </c>
      <c r="F74" s="205" t="s">
        <v>5547</v>
      </c>
    </row>
    <row r="75" spans="1:6">
      <c r="A75" s="205" t="s">
        <v>5553</v>
      </c>
      <c r="B75" s="18">
        <v>-1000000</v>
      </c>
      <c r="C75" s="205">
        <v>31</v>
      </c>
      <c r="D75" s="205">
        <f t="shared" si="4"/>
        <v>574</v>
      </c>
      <c r="E75" s="205">
        <f t="shared" si="5"/>
        <v>-574000000</v>
      </c>
      <c r="F75" s="205"/>
    </row>
    <row r="76" spans="1:6">
      <c r="A76" s="205" t="s">
        <v>5581</v>
      </c>
      <c r="B76" s="18">
        <v>6000000</v>
      </c>
      <c r="C76" s="205">
        <v>1</v>
      </c>
      <c r="D76" s="205">
        <f t="shared" si="4"/>
        <v>543</v>
      </c>
      <c r="E76" s="205">
        <f t="shared" si="5"/>
        <v>3258000000</v>
      </c>
      <c r="F76" s="205"/>
    </row>
    <row r="77" spans="1:6">
      <c r="A77" s="205" t="s">
        <v>5582</v>
      </c>
      <c r="B77" s="18">
        <v>6000000</v>
      </c>
      <c r="C77" s="205">
        <v>11</v>
      </c>
      <c r="D77" s="205">
        <f t="shared" si="4"/>
        <v>542</v>
      </c>
      <c r="E77" s="205">
        <f t="shared" si="5"/>
        <v>3252000000</v>
      </c>
      <c r="F77" s="205"/>
    </row>
    <row r="78" spans="1:6">
      <c r="A78" s="205" t="s">
        <v>5597</v>
      </c>
      <c r="B78" s="18">
        <v>48000000</v>
      </c>
      <c r="C78" s="205">
        <v>8</v>
      </c>
      <c r="D78" s="205">
        <f t="shared" si="4"/>
        <v>531</v>
      </c>
      <c r="E78" s="205">
        <f t="shared" si="5"/>
        <v>25488000000</v>
      </c>
      <c r="F78" s="205"/>
    </row>
    <row r="79" spans="1:6">
      <c r="A79" s="205" t="s">
        <v>5614</v>
      </c>
      <c r="B79" s="18">
        <v>-400000</v>
      </c>
      <c r="C79" s="205">
        <v>23</v>
      </c>
      <c r="D79" s="205">
        <f t="shared" si="4"/>
        <v>523</v>
      </c>
      <c r="E79" s="205">
        <f t="shared" si="5"/>
        <v>-209200000</v>
      </c>
      <c r="F79" s="205"/>
    </row>
    <row r="80" spans="1:6">
      <c r="A80" s="205" t="s">
        <v>5650</v>
      </c>
      <c r="B80" s="18">
        <v>500000</v>
      </c>
      <c r="C80" s="205">
        <v>4</v>
      </c>
      <c r="D80" s="205">
        <f t="shared" si="4"/>
        <v>500</v>
      </c>
      <c r="E80" s="205">
        <f t="shared" si="5"/>
        <v>250000000</v>
      </c>
      <c r="F80" s="205"/>
    </row>
    <row r="81" spans="1:6">
      <c r="A81" s="205" t="s">
        <v>5654</v>
      </c>
      <c r="B81" s="18">
        <v>-500000</v>
      </c>
      <c r="C81" s="205">
        <v>48</v>
      </c>
      <c r="D81" s="205">
        <f t="shared" si="4"/>
        <v>496</v>
      </c>
      <c r="E81" s="205">
        <f t="shared" si="5"/>
        <v>-248000000</v>
      </c>
      <c r="F81" s="205"/>
    </row>
    <row r="82" spans="1:6">
      <c r="A82" s="205" t="s">
        <v>5709</v>
      </c>
      <c r="B82" s="18">
        <v>2000000</v>
      </c>
      <c r="C82" s="205">
        <v>11</v>
      </c>
      <c r="D82" s="205">
        <f t="shared" si="4"/>
        <v>448</v>
      </c>
      <c r="E82" s="205">
        <f t="shared" si="5"/>
        <v>896000000</v>
      </c>
      <c r="F82" s="205"/>
    </row>
    <row r="83" spans="1:6">
      <c r="A83" s="205" t="s">
        <v>5719</v>
      </c>
      <c r="B83" s="18">
        <v>-2000000</v>
      </c>
      <c r="C83" s="205">
        <v>1</v>
      </c>
      <c r="D83" s="205">
        <f t="shared" si="4"/>
        <v>437</v>
      </c>
      <c r="E83" s="205">
        <f t="shared" si="5"/>
        <v>-874000000</v>
      </c>
      <c r="F83" s="205"/>
    </row>
    <row r="84" spans="1:6">
      <c r="A84" s="205" t="s">
        <v>5720</v>
      </c>
      <c r="B84" s="18">
        <v>-42203</v>
      </c>
      <c r="C84" s="205">
        <v>2</v>
      </c>
      <c r="D84" s="205">
        <f t="shared" si="4"/>
        <v>436</v>
      </c>
      <c r="E84" s="205">
        <f t="shared" si="5"/>
        <v>-18400508</v>
      </c>
      <c r="F84" s="205" t="s">
        <v>5724</v>
      </c>
    </row>
    <row r="85" spans="1:6">
      <c r="A85" s="205" t="s">
        <v>5726</v>
      </c>
      <c r="B85" s="18">
        <v>-365000</v>
      </c>
      <c r="C85" s="205">
        <v>5</v>
      </c>
      <c r="D85" s="205">
        <f t="shared" si="4"/>
        <v>434</v>
      </c>
      <c r="E85" s="205">
        <f t="shared" si="5"/>
        <v>-158410000</v>
      </c>
      <c r="F85" s="205" t="s">
        <v>5727</v>
      </c>
    </row>
    <row r="86" spans="1:6">
      <c r="A86" s="205" t="s">
        <v>5732</v>
      </c>
      <c r="B86" s="18">
        <v>12000000</v>
      </c>
      <c r="C86" s="205">
        <v>9</v>
      </c>
      <c r="D86" s="205">
        <f t="shared" si="4"/>
        <v>429</v>
      </c>
      <c r="E86" s="205">
        <f t="shared" si="5"/>
        <v>5148000000</v>
      </c>
      <c r="F86" s="205" t="s">
        <v>5733</v>
      </c>
    </row>
    <row r="87" spans="1:6">
      <c r="A87" s="205" t="s">
        <v>5742</v>
      </c>
      <c r="B87" s="18">
        <v>-4000000</v>
      </c>
      <c r="C87" s="205">
        <v>1</v>
      </c>
      <c r="D87" s="205">
        <f t="shared" si="4"/>
        <v>420</v>
      </c>
      <c r="E87" s="205">
        <f t="shared" si="5"/>
        <v>-1680000000</v>
      </c>
      <c r="F87" s="205"/>
    </row>
    <row r="88" spans="1:6">
      <c r="A88" s="205" t="s">
        <v>5746</v>
      </c>
      <c r="B88" s="18">
        <v>-5000000</v>
      </c>
      <c r="C88" s="205">
        <v>2</v>
      </c>
      <c r="D88" s="205">
        <f t="shared" si="4"/>
        <v>419</v>
      </c>
      <c r="E88" s="205">
        <f t="shared" si="5"/>
        <v>-2095000000</v>
      </c>
      <c r="F88" s="205"/>
    </row>
    <row r="89" spans="1:6">
      <c r="A89" s="205" t="s">
        <v>5744</v>
      </c>
      <c r="B89" s="18">
        <v>-2500000</v>
      </c>
      <c r="C89" s="205">
        <v>1</v>
      </c>
      <c r="D89" s="205">
        <f t="shared" si="4"/>
        <v>417</v>
      </c>
      <c r="E89" s="205">
        <f t="shared" si="5"/>
        <v>-1042500000</v>
      </c>
      <c r="F89" s="205"/>
    </row>
    <row r="90" spans="1:6">
      <c r="A90" s="205" t="s">
        <v>5745</v>
      </c>
      <c r="B90" s="18">
        <v>-500000</v>
      </c>
      <c r="C90" s="205">
        <v>17</v>
      </c>
      <c r="D90" s="205">
        <f t="shared" si="4"/>
        <v>416</v>
      </c>
      <c r="E90" s="205">
        <f t="shared" si="5"/>
        <v>-208000000</v>
      </c>
      <c r="F90" s="205"/>
    </row>
    <row r="91" spans="1:6">
      <c r="A91" s="205" t="s">
        <v>5747</v>
      </c>
      <c r="B91" s="18">
        <v>-192797</v>
      </c>
      <c r="C91" s="205">
        <v>15</v>
      </c>
      <c r="D91" s="205">
        <f t="shared" si="4"/>
        <v>399</v>
      </c>
      <c r="E91" s="205">
        <f t="shared" si="5"/>
        <v>-76926003</v>
      </c>
      <c r="F91" s="205"/>
    </row>
    <row r="92" spans="1:6">
      <c r="A92" s="205" t="s">
        <v>5752</v>
      </c>
      <c r="B92" s="18">
        <v>2000000</v>
      </c>
      <c r="C92" s="205">
        <v>12</v>
      </c>
      <c r="D92" s="205">
        <f t="shared" si="4"/>
        <v>384</v>
      </c>
      <c r="E92" s="205">
        <f t="shared" si="5"/>
        <v>768000000</v>
      </c>
      <c r="F92" s="205"/>
    </row>
    <row r="93" spans="1:6">
      <c r="A93" s="205" t="s">
        <v>5759</v>
      </c>
      <c r="B93" s="18">
        <v>-2000000</v>
      </c>
      <c r="C93" s="205">
        <v>0</v>
      </c>
      <c r="D93" s="205">
        <f t="shared" si="4"/>
        <v>372</v>
      </c>
      <c r="E93" s="205">
        <f t="shared" si="5"/>
        <v>-744000000</v>
      </c>
      <c r="F93" s="205"/>
    </row>
    <row r="94" spans="1:6">
      <c r="A94" s="205" t="s">
        <v>5759</v>
      </c>
      <c r="B94" s="18">
        <v>-4000000</v>
      </c>
      <c r="C94" s="205">
        <v>1</v>
      </c>
      <c r="D94" s="205">
        <f t="shared" si="4"/>
        <v>372</v>
      </c>
      <c r="E94" s="205">
        <f t="shared" si="5"/>
        <v>-1488000000</v>
      </c>
      <c r="F94" s="205"/>
    </row>
    <row r="95" spans="1:6">
      <c r="A95" s="205" t="s">
        <v>5760</v>
      </c>
      <c r="B95" s="18">
        <v>-3000000</v>
      </c>
      <c r="C95" s="205">
        <v>3</v>
      </c>
      <c r="D95" s="205">
        <f t="shared" si="4"/>
        <v>371</v>
      </c>
      <c r="E95" s="205">
        <f t="shared" si="5"/>
        <v>-1113000000</v>
      </c>
      <c r="F95" s="205"/>
    </row>
    <row r="96" spans="1:6">
      <c r="A96" s="205" t="s">
        <v>5767</v>
      </c>
      <c r="B96" s="18">
        <v>-6000000</v>
      </c>
      <c r="C96" s="205">
        <v>1</v>
      </c>
      <c r="D96" s="205">
        <f t="shared" si="4"/>
        <v>368</v>
      </c>
      <c r="E96" s="205">
        <f t="shared" si="5"/>
        <v>-2208000000</v>
      </c>
      <c r="F96" s="205"/>
    </row>
    <row r="97" spans="1:6">
      <c r="A97" s="205" t="s">
        <v>5770</v>
      </c>
      <c r="B97" s="18">
        <v>-10000000</v>
      </c>
      <c r="C97" s="205">
        <v>0</v>
      </c>
      <c r="D97" s="205">
        <f t="shared" si="4"/>
        <v>367</v>
      </c>
      <c r="E97" s="205">
        <f t="shared" si="5"/>
        <v>-3670000000</v>
      </c>
      <c r="F97" s="205"/>
    </row>
    <row r="98" spans="1:6">
      <c r="A98" s="205" t="s">
        <v>5770</v>
      </c>
      <c r="B98" s="18">
        <v>-5500000</v>
      </c>
      <c r="C98" s="205">
        <v>1</v>
      </c>
      <c r="D98" s="205">
        <f t="shared" si="4"/>
        <v>367</v>
      </c>
      <c r="E98" s="205">
        <f t="shared" si="5"/>
        <v>-2018500000</v>
      </c>
      <c r="F98" s="205"/>
    </row>
    <row r="99" spans="1:6">
      <c r="A99" s="205" t="s">
        <v>5771</v>
      </c>
      <c r="B99" s="18">
        <v>-1500000</v>
      </c>
      <c r="C99" s="205">
        <v>9</v>
      </c>
      <c r="D99" s="205">
        <f t="shared" ref="D99:D130" si="6">C99+D100</f>
        <v>366</v>
      </c>
      <c r="E99" s="205">
        <f t="shared" ref="E99:E130" si="7">B99*D99</f>
        <v>-549000000</v>
      </c>
      <c r="F99" s="205"/>
    </row>
    <row r="100" spans="1:6">
      <c r="A100" s="205" t="s">
        <v>5798</v>
      </c>
      <c r="B100" s="18">
        <v>-22545000</v>
      </c>
      <c r="C100" s="205">
        <v>18</v>
      </c>
      <c r="D100" s="205">
        <f t="shared" si="6"/>
        <v>357</v>
      </c>
      <c r="E100" s="205">
        <f t="shared" si="7"/>
        <v>-8048565000</v>
      </c>
      <c r="F100" s="205" t="s">
        <v>5802</v>
      </c>
    </row>
    <row r="101" spans="1:6">
      <c r="A101" s="205" t="s">
        <v>5809</v>
      </c>
      <c r="B101" s="18">
        <v>5000000</v>
      </c>
      <c r="C101" s="205">
        <v>9</v>
      </c>
      <c r="D101" s="205">
        <f t="shared" si="6"/>
        <v>339</v>
      </c>
      <c r="E101" s="205">
        <f t="shared" si="7"/>
        <v>1695000000</v>
      </c>
      <c r="F101" s="205"/>
    </row>
    <row r="102" spans="1:6">
      <c r="A102" s="205" t="s">
        <v>5813</v>
      </c>
      <c r="B102" s="18">
        <v>3000000</v>
      </c>
      <c r="C102" s="205">
        <v>0</v>
      </c>
      <c r="D102" s="205">
        <f t="shared" si="6"/>
        <v>330</v>
      </c>
      <c r="E102" s="205">
        <f t="shared" si="7"/>
        <v>990000000</v>
      </c>
      <c r="F102" s="205"/>
    </row>
    <row r="103" spans="1:6">
      <c r="A103" s="205" t="s">
        <v>5813</v>
      </c>
      <c r="B103" s="18">
        <v>-3000000</v>
      </c>
      <c r="C103" s="205">
        <v>1</v>
      </c>
      <c r="D103" s="205">
        <f t="shared" si="6"/>
        <v>330</v>
      </c>
      <c r="E103" s="205">
        <f t="shared" si="7"/>
        <v>-990000000</v>
      </c>
      <c r="F103" s="205"/>
    </row>
    <row r="104" spans="1:6">
      <c r="A104" s="205" t="s">
        <v>5814</v>
      </c>
      <c r="B104" s="18">
        <v>-11455000</v>
      </c>
      <c r="C104" s="205">
        <v>14</v>
      </c>
      <c r="D104" s="205">
        <f t="shared" si="6"/>
        <v>329</v>
      </c>
      <c r="E104" s="205">
        <f t="shared" si="7"/>
        <v>-3768695000</v>
      </c>
      <c r="F104" s="205"/>
    </row>
    <row r="105" spans="1:6">
      <c r="A105" s="205" t="s">
        <v>6193</v>
      </c>
      <c r="B105" s="18">
        <v>2317100</v>
      </c>
      <c r="C105" s="205">
        <v>3</v>
      </c>
      <c r="D105" s="205">
        <f t="shared" si="6"/>
        <v>315</v>
      </c>
      <c r="E105" s="205">
        <f t="shared" si="7"/>
        <v>729886500</v>
      </c>
      <c r="F105" s="205"/>
    </row>
    <row r="106" spans="1:6">
      <c r="A106" s="205" t="s">
        <v>6194</v>
      </c>
      <c r="B106" s="18">
        <v>699000</v>
      </c>
      <c r="C106" s="205">
        <v>3</v>
      </c>
      <c r="D106" s="205">
        <f t="shared" si="6"/>
        <v>312</v>
      </c>
      <c r="E106" s="205">
        <f t="shared" si="7"/>
        <v>218088000</v>
      </c>
      <c r="F106" s="205"/>
    </row>
    <row r="107" spans="1:6">
      <c r="A107" s="205" t="s">
        <v>6196</v>
      </c>
      <c r="B107" s="18">
        <v>-1016100</v>
      </c>
      <c r="C107" s="205">
        <v>5</v>
      </c>
      <c r="D107" s="205">
        <f t="shared" si="6"/>
        <v>309</v>
      </c>
      <c r="E107" s="205">
        <f t="shared" si="7"/>
        <v>-313974900</v>
      </c>
      <c r="F107" s="205"/>
    </row>
    <row r="108" spans="1:6">
      <c r="A108" s="205" t="s">
        <v>6203</v>
      </c>
      <c r="B108" s="18">
        <v>-680000</v>
      </c>
      <c r="C108" s="205">
        <v>3</v>
      </c>
      <c r="D108" s="205">
        <f t="shared" si="6"/>
        <v>304</v>
      </c>
      <c r="E108" s="205">
        <f t="shared" si="7"/>
        <v>-206720000</v>
      </c>
      <c r="F108" s="205"/>
    </row>
    <row r="109" spans="1:6">
      <c r="A109" s="205" t="s">
        <v>6204</v>
      </c>
      <c r="B109" s="18">
        <v>-216000</v>
      </c>
      <c r="C109" s="205">
        <v>3</v>
      </c>
      <c r="D109" s="205">
        <f t="shared" si="6"/>
        <v>301</v>
      </c>
      <c r="E109" s="205">
        <f t="shared" si="7"/>
        <v>-65016000</v>
      </c>
      <c r="F109" s="205"/>
    </row>
    <row r="110" spans="1:6">
      <c r="A110" s="205" t="s">
        <v>6205</v>
      </c>
      <c r="B110" s="18">
        <v>-619000</v>
      </c>
      <c r="C110" s="205">
        <v>3</v>
      </c>
      <c r="D110" s="205">
        <f t="shared" si="6"/>
        <v>298</v>
      </c>
      <c r="E110" s="205">
        <f t="shared" si="7"/>
        <v>-184462000</v>
      </c>
      <c r="F110" s="205"/>
    </row>
    <row r="111" spans="1:6" ht="30">
      <c r="A111" s="189" t="s">
        <v>6207</v>
      </c>
      <c r="B111" s="237">
        <v>-485000</v>
      </c>
      <c r="C111" s="189">
        <v>11</v>
      </c>
      <c r="D111" s="205">
        <f t="shared" si="6"/>
        <v>295</v>
      </c>
      <c r="E111" s="205">
        <f t="shared" si="7"/>
        <v>-143075000</v>
      </c>
      <c r="F111" s="219" t="s">
        <v>6420</v>
      </c>
    </row>
    <row r="112" spans="1:6">
      <c r="A112" s="205" t="s">
        <v>6215</v>
      </c>
      <c r="B112" s="18">
        <v>3000000</v>
      </c>
      <c r="C112" s="205">
        <v>1</v>
      </c>
      <c r="D112" s="205">
        <f t="shared" si="6"/>
        <v>284</v>
      </c>
      <c r="E112" s="18">
        <f t="shared" si="7"/>
        <v>852000000</v>
      </c>
      <c r="F112" s="205"/>
    </row>
    <row r="113" spans="1:6">
      <c r="A113" s="205" t="s">
        <v>6216</v>
      </c>
      <c r="B113" s="18">
        <v>255000</v>
      </c>
      <c r="C113" s="205">
        <v>1</v>
      </c>
      <c r="D113" s="205">
        <f t="shared" si="6"/>
        <v>283</v>
      </c>
      <c r="E113" s="18">
        <f t="shared" si="7"/>
        <v>72165000</v>
      </c>
      <c r="F113" s="205" t="s">
        <v>6217</v>
      </c>
    </row>
    <row r="114" spans="1:6">
      <c r="A114" s="205" t="s">
        <v>6218</v>
      </c>
      <c r="B114" s="18">
        <v>-3255000</v>
      </c>
      <c r="C114" s="205">
        <v>9</v>
      </c>
      <c r="D114" s="205">
        <f t="shared" si="6"/>
        <v>282</v>
      </c>
      <c r="E114" s="18">
        <f t="shared" si="7"/>
        <v>-917910000</v>
      </c>
      <c r="F114" s="205"/>
    </row>
    <row r="115" spans="1:6">
      <c r="A115" s="205" t="s">
        <v>6232</v>
      </c>
      <c r="B115" s="18">
        <v>60000000</v>
      </c>
      <c r="C115" s="205">
        <v>19</v>
      </c>
      <c r="D115" s="205">
        <f t="shared" si="6"/>
        <v>273</v>
      </c>
      <c r="E115" s="18">
        <f t="shared" si="7"/>
        <v>16380000000</v>
      </c>
      <c r="F115" s="205"/>
    </row>
    <row r="116" spans="1:6">
      <c r="A116" s="205" t="s">
        <v>6237</v>
      </c>
      <c r="B116" s="18">
        <v>473628</v>
      </c>
      <c r="C116" s="205">
        <v>2</v>
      </c>
      <c r="D116" s="205">
        <f t="shared" si="6"/>
        <v>254</v>
      </c>
      <c r="E116" s="18">
        <f t="shared" si="7"/>
        <v>120301512</v>
      </c>
      <c r="F116" s="205" t="s">
        <v>6238</v>
      </c>
    </row>
    <row r="117" spans="1:6">
      <c r="A117" s="205" t="s">
        <v>6239</v>
      </c>
      <c r="B117" s="18">
        <v>-473628</v>
      </c>
      <c r="C117" s="205">
        <v>1</v>
      </c>
      <c r="D117" s="205">
        <f t="shared" si="6"/>
        <v>252</v>
      </c>
      <c r="E117" s="18">
        <f t="shared" si="7"/>
        <v>-119354256</v>
      </c>
      <c r="F117" s="205"/>
    </row>
    <row r="118" spans="1:6">
      <c r="A118" s="205" t="s">
        <v>6241</v>
      </c>
      <c r="B118" s="18">
        <v>-6000000</v>
      </c>
      <c r="C118" s="205">
        <v>3</v>
      </c>
      <c r="D118" s="205">
        <f t="shared" si="6"/>
        <v>251</v>
      </c>
      <c r="E118" s="18">
        <f t="shared" si="7"/>
        <v>-1506000000</v>
      </c>
      <c r="F118" s="205"/>
    </row>
    <row r="119" spans="1:6">
      <c r="A119" s="205" t="s">
        <v>6243</v>
      </c>
      <c r="B119" s="18">
        <v>-475000</v>
      </c>
      <c r="C119" s="205">
        <v>1</v>
      </c>
      <c r="D119" s="205">
        <f t="shared" si="6"/>
        <v>248</v>
      </c>
      <c r="E119" s="18">
        <f t="shared" si="7"/>
        <v>-117800000</v>
      </c>
      <c r="F119" s="205" t="s">
        <v>6244</v>
      </c>
    </row>
    <row r="120" spans="1:6">
      <c r="A120" s="205" t="s">
        <v>6245</v>
      </c>
      <c r="B120" s="18">
        <v>-837000</v>
      </c>
      <c r="C120" s="205">
        <v>1</v>
      </c>
      <c r="D120" s="205">
        <f t="shared" si="6"/>
        <v>247</v>
      </c>
      <c r="E120" s="18">
        <f t="shared" si="7"/>
        <v>-206739000</v>
      </c>
      <c r="F120" s="205" t="s">
        <v>6244</v>
      </c>
    </row>
    <row r="121" spans="1:6">
      <c r="A121" s="205" t="s">
        <v>6246</v>
      </c>
      <c r="B121" s="18">
        <v>-493000</v>
      </c>
      <c r="C121" s="205">
        <v>1</v>
      </c>
      <c r="D121" s="205">
        <f t="shared" si="6"/>
        <v>246</v>
      </c>
      <c r="E121" s="18">
        <f t="shared" si="7"/>
        <v>-121278000</v>
      </c>
      <c r="F121" s="205" t="s">
        <v>6244</v>
      </c>
    </row>
    <row r="122" spans="1:6">
      <c r="A122" s="454" t="s">
        <v>6247</v>
      </c>
      <c r="B122" s="18">
        <v>54000</v>
      </c>
      <c r="C122" s="205">
        <v>3</v>
      </c>
      <c r="D122" s="205">
        <f t="shared" si="6"/>
        <v>245</v>
      </c>
      <c r="E122" s="18">
        <f t="shared" si="7"/>
        <v>13230000</v>
      </c>
      <c r="F122" s="205" t="s">
        <v>6248</v>
      </c>
    </row>
    <row r="123" spans="1:6">
      <c r="A123" s="205" t="s">
        <v>6250</v>
      </c>
      <c r="B123" s="18">
        <v>-400000</v>
      </c>
      <c r="C123" s="205">
        <v>2</v>
      </c>
      <c r="D123" s="205">
        <f t="shared" si="6"/>
        <v>242</v>
      </c>
      <c r="E123" s="18">
        <f t="shared" si="7"/>
        <v>-96800000</v>
      </c>
      <c r="F123" s="205" t="s">
        <v>6252</v>
      </c>
    </row>
    <row r="124" spans="1:6">
      <c r="A124" s="205" t="s">
        <v>6254</v>
      </c>
      <c r="B124" s="18">
        <v>-938000</v>
      </c>
      <c r="C124" s="205">
        <v>9</v>
      </c>
      <c r="D124" s="205">
        <f t="shared" si="6"/>
        <v>240</v>
      </c>
      <c r="E124" s="18">
        <f t="shared" si="7"/>
        <v>-225120000</v>
      </c>
      <c r="F124" s="205" t="s">
        <v>6244</v>
      </c>
    </row>
    <row r="125" spans="1:6">
      <c r="A125" s="205" t="s">
        <v>6366</v>
      </c>
      <c r="B125" s="18">
        <v>-7911000</v>
      </c>
      <c r="C125" s="205">
        <v>12</v>
      </c>
      <c r="D125" s="205">
        <f t="shared" si="6"/>
        <v>231</v>
      </c>
      <c r="E125" s="18">
        <f t="shared" si="7"/>
        <v>-1827441000</v>
      </c>
      <c r="F125" s="205" t="s">
        <v>6367</v>
      </c>
    </row>
    <row r="126" spans="1:6">
      <c r="A126" s="205" t="s">
        <v>6377</v>
      </c>
      <c r="B126" s="18">
        <v>1000000</v>
      </c>
      <c r="C126" s="205">
        <v>1</v>
      </c>
      <c r="D126" s="205">
        <f t="shared" si="6"/>
        <v>219</v>
      </c>
      <c r="E126" s="18">
        <f t="shared" si="7"/>
        <v>219000000</v>
      </c>
      <c r="F126" s="205" t="s">
        <v>6383</v>
      </c>
    </row>
    <row r="127" spans="1:6">
      <c r="A127" s="205" t="s">
        <v>6378</v>
      </c>
      <c r="B127" s="18">
        <v>-1000000</v>
      </c>
      <c r="C127" s="205">
        <v>19</v>
      </c>
      <c r="D127" s="205">
        <f t="shared" si="6"/>
        <v>218</v>
      </c>
      <c r="E127" s="18">
        <f t="shared" si="7"/>
        <v>-218000000</v>
      </c>
      <c r="F127" s="205" t="s">
        <v>6367</v>
      </c>
    </row>
    <row r="128" spans="1:6">
      <c r="A128" s="205" t="s">
        <v>6399</v>
      </c>
      <c r="B128" s="18">
        <v>400000</v>
      </c>
      <c r="C128" s="205">
        <v>0</v>
      </c>
      <c r="D128" s="205">
        <f t="shared" si="6"/>
        <v>199</v>
      </c>
      <c r="E128" s="18">
        <f t="shared" si="7"/>
        <v>79600000</v>
      </c>
      <c r="F128" s="205"/>
    </row>
    <row r="129" spans="1:6">
      <c r="A129" s="205" t="s">
        <v>6399</v>
      </c>
      <c r="B129" s="18">
        <v>-400000</v>
      </c>
      <c r="C129" s="205">
        <v>11</v>
      </c>
      <c r="D129" s="205">
        <f t="shared" si="6"/>
        <v>199</v>
      </c>
      <c r="E129" s="18">
        <f t="shared" si="7"/>
        <v>-79600000</v>
      </c>
      <c r="F129" s="205"/>
    </row>
    <row r="130" spans="1:6">
      <c r="A130" s="205" t="s">
        <v>6413</v>
      </c>
      <c r="B130" s="18">
        <v>600000</v>
      </c>
      <c r="C130" s="205">
        <v>5</v>
      </c>
      <c r="D130" s="205">
        <f t="shared" si="6"/>
        <v>188</v>
      </c>
      <c r="E130" s="18">
        <f t="shared" si="7"/>
        <v>112800000</v>
      </c>
      <c r="F130" s="205"/>
    </row>
    <row r="131" spans="1:6">
      <c r="A131" s="205" t="s">
        <v>6419</v>
      </c>
      <c r="B131" s="18">
        <v>-600000</v>
      </c>
      <c r="C131" s="205">
        <v>30</v>
      </c>
      <c r="D131" s="205">
        <f t="shared" ref="D131:D143" si="8">C131+D132</f>
        <v>183</v>
      </c>
      <c r="E131" s="18">
        <f t="shared" ref="E131:E143" si="9">B131*D131</f>
        <v>-109800000</v>
      </c>
      <c r="F131" s="205"/>
    </row>
    <row r="132" spans="1:6">
      <c r="A132" s="205" t="s">
        <v>6738</v>
      </c>
      <c r="B132" s="18">
        <v>650000</v>
      </c>
      <c r="C132" s="205">
        <v>4</v>
      </c>
      <c r="D132" s="205">
        <f t="shared" si="8"/>
        <v>153</v>
      </c>
      <c r="E132" s="18">
        <f t="shared" si="9"/>
        <v>99450000</v>
      </c>
      <c r="F132" s="205"/>
    </row>
    <row r="133" spans="1:6">
      <c r="A133" s="205" t="s">
        <v>6741</v>
      </c>
      <c r="B133" s="18">
        <v>-650000</v>
      </c>
      <c r="C133" s="205">
        <v>15</v>
      </c>
      <c r="D133" s="205">
        <f t="shared" si="8"/>
        <v>149</v>
      </c>
      <c r="E133" s="18">
        <f t="shared" si="9"/>
        <v>-96850000</v>
      </c>
      <c r="F133" s="205"/>
    </row>
    <row r="134" spans="1:6">
      <c r="A134" s="205" t="s">
        <v>6747</v>
      </c>
      <c r="B134" s="18">
        <v>700000</v>
      </c>
      <c r="C134" s="205">
        <v>6</v>
      </c>
      <c r="D134" s="205">
        <f t="shared" si="8"/>
        <v>134</v>
      </c>
      <c r="E134" s="18">
        <f t="shared" si="9"/>
        <v>93800000</v>
      </c>
      <c r="F134" s="205"/>
    </row>
    <row r="135" spans="1:6">
      <c r="A135" s="205" t="s">
        <v>6749</v>
      </c>
      <c r="B135" s="18">
        <v>-700000</v>
      </c>
      <c r="C135" s="205">
        <v>22</v>
      </c>
      <c r="D135" s="205">
        <f t="shared" si="8"/>
        <v>128</v>
      </c>
      <c r="E135" s="18">
        <f t="shared" si="9"/>
        <v>-89600000</v>
      </c>
      <c r="F135" s="205"/>
    </row>
    <row r="136" spans="1:6">
      <c r="A136" s="205" t="s">
        <v>6830</v>
      </c>
      <c r="B136" s="18">
        <v>1000000</v>
      </c>
      <c r="C136" s="205">
        <v>7</v>
      </c>
      <c r="D136" s="205">
        <f t="shared" si="8"/>
        <v>106</v>
      </c>
      <c r="E136" s="18">
        <f t="shared" si="9"/>
        <v>106000000</v>
      </c>
      <c r="F136" s="205"/>
    </row>
    <row r="137" spans="1:6">
      <c r="A137" s="205" t="s">
        <v>6845</v>
      </c>
      <c r="B137" s="18">
        <v>-1000000</v>
      </c>
      <c r="C137" s="205">
        <v>33</v>
      </c>
      <c r="D137" s="205">
        <f t="shared" si="8"/>
        <v>99</v>
      </c>
      <c r="E137" s="18">
        <f t="shared" si="9"/>
        <v>-99000000</v>
      </c>
      <c r="F137" s="205"/>
    </row>
    <row r="138" spans="1:6">
      <c r="A138" s="205" t="s">
        <v>6885</v>
      </c>
      <c r="B138" s="18">
        <v>2000000</v>
      </c>
      <c r="C138" s="205">
        <v>21</v>
      </c>
      <c r="D138" s="205">
        <f t="shared" si="8"/>
        <v>66</v>
      </c>
      <c r="E138" s="18">
        <f t="shared" si="9"/>
        <v>132000000</v>
      </c>
      <c r="F138" s="205"/>
    </row>
    <row r="139" spans="1:6">
      <c r="A139" s="205" t="s">
        <v>6898</v>
      </c>
      <c r="B139" s="18">
        <v>-2000000</v>
      </c>
      <c r="C139" s="205">
        <v>45</v>
      </c>
      <c r="D139" s="205">
        <f t="shared" si="8"/>
        <v>45</v>
      </c>
      <c r="E139" s="18">
        <f t="shared" si="9"/>
        <v>-90000000</v>
      </c>
      <c r="F139" s="205"/>
    </row>
    <row r="140" spans="1:6">
      <c r="A140" s="205"/>
      <c r="B140" s="18"/>
      <c r="C140" s="205"/>
      <c r="D140" s="205">
        <f t="shared" si="8"/>
        <v>0</v>
      </c>
      <c r="E140" s="18">
        <f t="shared" si="9"/>
        <v>0</v>
      </c>
      <c r="F140" s="205"/>
    </row>
    <row r="141" spans="1:6">
      <c r="A141" s="205"/>
      <c r="B141" s="18"/>
      <c r="C141" s="205"/>
      <c r="D141" s="205">
        <f t="shared" si="8"/>
        <v>0</v>
      </c>
      <c r="E141" s="18">
        <f t="shared" si="9"/>
        <v>0</v>
      </c>
      <c r="F141" s="205"/>
    </row>
    <row r="142" spans="1:6">
      <c r="A142" s="205"/>
      <c r="B142" s="18"/>
      <c r="C142" s="205"/>
      <c r="D142" s="205">
        <f t="shared" si="8"/>
        <v>0</v>
      </c>
      <c r="E142" s="18">
        <f t="shared" si="9"/>
        <v>0</v>
      </c>
      <c r="F142" s="205"/>
    </row>
    <row r="143" spans="1:6">
      <c r="A143" s="205"/>
      <c r="B143" s="18"/>
      <c r="C143" s="205"/>
      <c r="D143" s="205">
        <f t="shared" si="8"/>
        <v>0</v>
      </c>
      <c r="E143" s="18">
        <f t="shared" si="9"/>
        <v>0</v>
      </c>
      <c r="F143" s="205"/>
    </row>
    <row r="144" spans="1:6" ht="60">
      <c r="A144" s="205"/>
      <c r="B144" s="18">
        <f>SUM(B3:B143)</f>
        <v>43000000</v>
      </c>
      <c r="C144" s="205"/>
      <c r="D144" s="205"/>
      <c r="E144" s="18">
        <f>SUM(E112:E143)</f>
        <v>12359054256</v>
      </c>
      <c r="F144" s="71" t="s">
        <v>6904</v>
      </c>
    </row>
    <row r="145" spans="2:2">
      <c r="B145" s="312" t="s">
        <v>4896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5" t="s">
        <v>0</v>
      </c>
      <c r="B1" s="205" t="s">
        <v>1</v>
      </c>
      <c r="C1" s="205" t="s">
        <v>4</v>
      </c>
      <c r="D1" s="205" t="s">
        <v>5</v>
      </c>
      <c r="E1" s="205" t="s">
        <v>8</v>
      </c>
      <c r="F1" s="10" t="s">
        <v>42</v>
      </c>
      <c r="G1" s="6" t="s">
        <v>35</v>
      </c>
      <c r="H1" s="6" t="s">
        <v>36</v>
      </c>
      <c r="I1" s="6" t="s">
        <v>37</v>
      </c>
      <c r="J1" s="6" t="s">
        <v>38</v>
      </c>
      <c r="K1" s="6" t="s">
        <v>39</v>
      </c>
      <c r="L1" s="6" t="s">
        <v>40</v>
      </c>
      <c r="M1" s="6" t="s">
        <v>41</v>
      </c>
      <c r="N1" s="94"/>
      <c r="O1" s="94"/>
      <c r="P1" s="94"/>
      <c r="Q1" s="94"/>
      <c r="R1" s="94"/>
      <c r="S1" s="94"/>
      <c r="T1" s="94"/>
      <c r="U1" s="94"/>
    </row>
    <row r="2" spans="1:21">
      <c r="A2" s="205" t="s">
        <v>4754</v>
      </c>
      <c r="B2" s="111">
        <f>اسفند97!B34</f>
        <v>1093523</v>
      </c>
      <c r="C2" s="1">
        <f>اسفند97!C34</f>
        <v>0</v>
      </c>
      <c r="D2" s="111">
        <f>B2-C2</f>
        <v>1093523</v>
      </c>
      <c r="E2" s="205" t="s">
        <v>59</v>
      </c>
      <c r="F2" s="94">
        <v>31</v>
      </c>
      <c r="G2" s="94">
        <f>B2*F2</f>
        <v>33899213</v>
      </c>
      <c r="H2" s="94">
        <f>C2*F2</f>
        <v>0</v>
      </c>
      <c r="I2" s="94">
        <f>D2*F2</f>
        <v>33899213</v>
      </c>
      <c r="J2" s="94"/>
      <c r="K2" s="94"/>
      <c r="L2" s="94"/>
      <c r="M2" s="94"/>
      <c r="N2" s="94"/>
      <c r="O2" s="94"/>
      <c r="P2" s="94"/>
      <c r="Q2" s="94"/>
      <c r="R2" s="94"/>
      <c r="S2" s="94"/>
      <c r="T2" s="94"/>
      <c r="U2" s="94"/>
    </row>
    <row r="3" spans="1:21">
      <c r="A3" s="20" t="s">
        <v>4756</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4753</v>
      </c>
      <c r="B4" s="18">
        <v>-960200</v>
      </c>
      <c r="C4" s="18">
        <v>0</v>
      </c>
      <c r="D4" s="111">
        <f t="shared" si="0"/>
        <v>-960200</v>
      </c>
      <c r="E4" s="97" t="s">
        <v>4757</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4674</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4674</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4674</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4682</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4682</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4682</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4686</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4687</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4687</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4692</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4692</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4701</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4722</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4727</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4730</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4730</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4730</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4732</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4732</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4733</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4733</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4738</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4747</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4747</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4747</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5" t="s">
        <v>4553</v>
      </c>
      <c r="B33" s="205">
        <v>0</v>
      </c>
      <c r="C33" s="205">
        <v>0</v>
      </c>
      <c r="D33" s="205">
        <f t="shared" si="0"/>
        <v>0</v>
      </c>
      <c r="E33" s="205"/>
      <c r="F33" s="94">
        <v>0</v>
      </c>
      <c r="G33" s="94">
        <f>B33*F33</f>
        <v>0</v>
      </c>
      <c r="H33" s="94">
        <f>C33*F33</f>
        <v>0</v>
      </c>
      <c r="I33" s="94">
        <f>D33*F33</f>
        <v>0</v>
      </c>
      <c r="J33" s="94"/>
      <c r="K33" s="94"/>
      <c r="L33" s="94"/>
      <c r="M33" s="94"/>
      <c r="N33" s="94"/>
      <c r="O33" s="94">
        <v>29</v>
      </c>
      <c r="P33" s="94">
        <v>2</v>
      </c>
      <c r="Q33" s="94">
        <v>3</v>
      </c>
      <c r="R33" s="94"/>
      <c r="S33" s="94"/>
      <c r="T33" s="94"/>
      <c r="U33" s="94"/>
    </row>
    <row r="34" spans="1:21">
      <c r="A34" s="205" t="s">
        <v>6</v>
      </c>
      <c r="B34" s="111">
        <f>SUM(B2:B33)</f>
        <v>52748</v>
      </c>
      <c r="C34" s="111">
        <f>SUM(C2:C33)</f>
        <v>0</v>
      </c>
      <c r="D34" s="111">
        <f>SUM(D2:D33)</f>
        <v>52748</v>
      </c>
      <c r="E34" s="205"/>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4758</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4755</v>
      </c>
      <c r="F42" s="94"/>
      <c r="G42" s="94"/>
      <c r="H42" s="94"/>
      <c r="I42" s="94"/>
      <c r="J42" s="94"/>
      <c r="K42" s="94"/>
      <c r="L42" s="94"/>
      <c r="M42" s="94"/>
      <c r="N42" s="94"/>
      <c r="O42" s="94"/>
      <c r="P42" s="94"/>
      <c r="Q42" s="94"/>
      <c r="R42" s="94"/>
      <c r="S42" s="94"/>
      <c r="T42" s="94"/>
      <c r="U42" s="94"/>
    </row>
    <row r="43" spans="1:21">
      <c r="A43" s="94"/>
      <c r="B43" s="94"/>
      <c r="C43" s="94"/>
      <c r="D43" s="18">
        <v>252830</v>
      </c>
      <c r="E43" s="120" t="s">
        <v>4760</v>
      </c>
      <c r="F43" s="94"/>
      <c r="G43" s="94"/>
      <c r="H43" s="94"/>
      <c r="I43" s="94"/>
      <c r="J43" s="94"/>
      <c r="K43" s="94"/>
      <c r="L43" s="94"/>
      <c r="M43" s="94"/>
      <c r="N43" s="94"/>
      <c r="O43" s="94"/>
      <c r="P43" s="94"/>
      <c r="Q43" s="94"/>
      <c r="R43" s="94"/>
      <c r="S43" s="94"/>
      <c r="T43" s="94"/>
      <c r="U43" s="94"/>
    </row>
    <row r="44" spans="1:21">
      <c r="A44" s="94"/>
      <c r="B44" s="94"/>
      <c r="C44" s="94"/>
      <c r="D44" s="18">
        <v>178820</v>
      </c>
      <c r="E44" s="120" t="s">
        <v>4764</v>
      </c>
      <c r="F44" s="94"/>
      <c r="G44" s="94"/>
      <c r="H44" s="94"/>
      <c r="I44" s="94"/>
      <c r="J44" s="94"/>
      <c r="K44" s="94"/>
      <c r="L44" s="94"/>
      <c r="M44" s="94"/>
      <c r="N44" s="94"/>
      <c r="O44" s="94"/>
      <c r="P44" s="94"/>
      <c r="Q44" s="94"/>
      <c r="R44" s="94"/>
      <c r="S44" s="94"/>
      <c r="T44" s="94"/>
      <c r="U44" s="94"/>
    </row>
    <row r="45" spans="1:21">
      <c r="A45" s="94"/>
      <c r="B45" s="94"/>
      <c r="C45" s="94"/>
      <c r="D45" s="18">
        <v>382000</v>
      </c>
      <c r="E45" s="120" t="s">
        <v>4771</v>
      </c>
      <c r="F45" s="94"/>
      <c r="G45" s="94"/>
      <c r="H45" s="94"/>
      <c r="I45" s="94"/>
      <c r="J45" s="94"/>
      <c r="K45" s="94"/>
      <c r="L45" s="94"/>
      <c r="M45" s="94"/>
      <c r="N45" s="94"/>
      <c r="O45" s="94"/>
      <c r="P45" s="94"/>
      <c r="Q45" s="94"/>
      <c r="R45" s="94"/>
      <c r="S45" s="94"/>
      <c r="T45" s="94"/>
      <c r="U45" s="94"/>
    </row>
    <row r="46" spans="1:21">
      <c r="A46" s="94"/>
      <c r="B46" s="94"/>
      <c r="C46" s="94"/>
      <c r="D46" s="18">
        <v>-200000</v>
      </c>
      <c r="E46" s="120" t="s">
        <v>4772</v>
      </c>
      <c r="F46" s="94"/>
      <c r="G46" s="94"/>
      <c r="H46" s="94"/>
      <c r="I46" s="94"/>
      <c r="J46" s="94"/>
      <c r="K46" s="94"/>
      <c r="L46" s="94"/>
      <c r="M46" s="94"/>
      <c r="N46" s="94"/>
      <c r="O46" s="94"/>
      <c r="P46" s="94"/>
      <c r="Q46" s="94"/>
      <c r="R46" s="94"/>
      <c r="S46" s="94"/>
      <c r="T46" s="94"/>
      <c r="U46" s="94"/>
    </row>
    <row r="47" spans="1:21">
      <c r="A47" s="94"/>
      <c r="B47" s="94"/>
      <c r="C47" s="94"/>
      <c r="D47" s="18">
        <v>-2336075</v>
      </c>
      <c r="E47" s="120" t="s">
        <v>4775</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4778</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4785</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4787</v>
      </c>
      <c r="F50" s="94"/>
      <c r="G50" s="94"/>
      <c r="H50" s="94"/>
      <c r="I50" s="94"/>
      <c r="J50" s="94"/>
      <c r="K50" s="94"/>
      <c r="L50" s="94"/>
      <c r="M50" s="94"/>
      <c r="N50" s="94"/>
      <c r="O50" s="94"/>
      <c r="P50" s="94"/>
      <c r="Q50" s="94"/>
      <c r="R50" s="94"/>
      <c r="S50" s="94"/>
      <c r="T50" s="94"/>
      <c r="U50" s="94"/>
    </row>
    <row r="51" spans="1:21">
      <c r="A51" s="94"/>
      <c r="B51" s="94"/>
      <c r="C51" s="94"/>
      <c r="D51" s="18">
        <v>-40000</v>
      </c>
      <c r="E51" s="120" t="s">
        <v>4788</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4799</v>
      </c>
      <c r="F52" s="94"/>
      <c r="G52" s="94"/>
      <c r="H52" s="94"/>
      <c r="I52" s="94"/>
      <c r="J52" s="94"/>
      <c r="K52" s="94"/>
      <c r="L52" s="94"/>
      <c r="M52" s="94"/>
      <c r="N52" s="94"/>
      <c r="O52" s="94"/>
      <c r="P52" s="94"/>
      <c r="Q52" s="94"/>
      <c r="R52" s="94"/>
      <c r="S52" s="94"/>
      <c r="T52" s="94"/>
      <c r="U52" s="94"/>
    </row>
    <row r="53" spans="1:21">
      <c r="A53" s="94"/>
      <c r="B53" s="94"/>
      <c r="C53" s="94"/>
      <c r="D53" s="18">
        <v>160000</v>
      </c>
      <c r="E53" s="120" t="s">
        <v>4802</v>
      </c>
      <c r="F53" s="94"/>
      <c r="G53" s="94"/>
      <c r="H53" s="94"/>
      <c r="I53" s="94"/>
      <c r="J53" s="94"/>
      <c r="K53" s="94"/>
      <c r="L53" s="94"/>
      <c r="M53" s="94"/>
      <c r="N53" s="94"/>
      <c r="O53" s="94"/>
      <c r="P53" s="94"/>
      <c r="Q53" s="94"/>
      <c r="R53" s="94"/>
      <c r="S53" s="94"/>
      <c r="T53" s="94"/>
      <c r="U53" s="94"/>
    </row>
    <row r="54" spans="1:21">
      <c r="A54" s="94"/>
      <c r="B54" s="94"/>
      <c r="C54" s="94"/>
      <c r="D54" s="18">
        <v>-224012</v>
      </c>
      <c r="E54" s="120" t="s">
        <v>4832</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4833</v>
      </c>
      <c r="F55" s="112"/>
      <c r="G55" s="41"/>
      <c r="H55" s="94"/>
      <c r="I55" s="94"/>
      <c r="J55" s="94"/>
      <c r="K55" s="94"/>
      <c r="L55" s="94"/>
      <c r="M55" s="94"/>
      <c r="N55" s="94"/>
      <c r="O55" s="94"/>
      <c r="P55" s="94"/>
      <c r="Q55" s="94"/>
      <c r="R55" s="94"/>
      <c r="S55" s="94"/>
      <c r="T55" s="94"/>
      <c r="U55" s="94"/>
    </row>
    <row r="56" spans="1:21">
      <c r="A56" s="94"/>
      <c r="B56" s="94"/>
      <c r="C56" s="94"/>
      <c r="D56" s="18">
        <v>1465000</v>
      </c>
      <c r="E56" s="120" t="s">
        <v>4840</v>
      </c>
      <c r="F56" s="112"/>
      <c r="G56" s="41"/>
      <c r="H56" s="94"/>
      <c r="I56" s="94"/>
      <c r="J56" s="94"/>
      <c r="K56" s="94"/>
      <c r="L56" s="94"/>
      <c r="M56" s="94"/>
      <c r="N56" s="94"/>
      <c r="O56" s="94"/>
      <c r="P56" s="94"/>
      <c r="Q56" s="94"/>
      <c r="R56" s="94"/>
      <c r="S56" s="94"/>
      <c r="T56" s="94"/>
      <c r="U56" s="94"/>
    </row>
    <row r="57" spans="1:21">
      <c r="A57" s="94"/>
      <c r="B57" s="94"/>
      <c r="C57" s="94"/>
      <c r="D57" s="18">
        <v>2600000</v>
      </c>
      <c r="E57" s="120" t="s">
        <v>4870</v>
      </c>
      <c r="F57" s="112"/>
      <c r="G57" s="41"/>
      <c r="H57" s="94"/>
      <c r="I57" s="94"/>
      <c r="J57" s="94"/>
      <c r="K57" s="94"/>
      <c r="L57" s="94"/>
      <c r="M57" s="94"/>
      <c r="N57" s="94"/>
      <c r="O57" s="94"/>
      <c r="P57" s="94"/>
      <c r="Q57" s="94"/>
      <c r="R57" s="94"/>
      <c r="S57" s="94"/>
      <c r="T57" s="94"/>
      <c r="U57" s="94"/>
    </row>
    <row r="58" spans="1:21">
      <c r="A58" s="94"/>
      <c r="B58" s="94"/>
      <c r="C58" s="94"/>
      <c r="D58" s="18">
        <v>-1170000</v>
      </c>
      <c r="E58" s="120" t="s">
        <v>4879</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4878</v>
      </c>
      <c r="F59" s="112"/>
      <c r="G59" s="94"/>
      <c r="H59" s="94"/>
      <c r="I59" s="94"/>
      <c r="J59" s="94"/>
      <c r="K59" s="94"/>
      <c r="L59" s="94"/>
      <c r="M59" s="94"/>
      <c r="N59" s="94"/>
      <c r="O59" s="94"/>
      <c r="P59" s="94"/>
      <c r="Q59" s="94"/>
      <c r="R59" s="94"/>
      <c r="S59" s="94"/>
      <c r="T59" s="94"/>
      <c r="U59" s="94"/>
    </row>
    <row r="60" spans="1:21">
      <c r="A60" s="94"/>
      <c r="B60" s="94"/>
      <c r="C60" s="94"/>
      <c r="D60" s="18">
        <v>360000</v>
      </c>
      <c r="E60" s="120" t="s">
        <v>4886</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4" t="s">
        <v>4903</v>
      </c>
      <c r="F61" s="94"/>
      <c r="G61" s="94"/>
      <c r="H61" s="94"/>
      <c r="I61" s="94"/>
      <c r="J61" s="94"/>
      <c r="K61" s="94"/>
      <c r="L61" s="94"/>
      <c r="M61" s="94"/>
      <c r="N61" s="94"/>
      <c r="O61" s="94"/>
      <c r="P61" s="94"/>
      <c r="Q61" s="94"/>
      <c r="R61" s="94"/>
      <c r="S61" s="94"/>
      <c r="T61" s="94"/>
      <c r="U61" s="94"/>
    </row>
    <row r="62" spans="1:21">
      <c r="A62" s="94"/>
      <c r="B62" s="94"/>
      <c r="C62" s="94"/>
      <c r="D62" s="18">
        <v>-550000</v>
      </c>
      <c r="E62" s="234" t="s">
        <v>4906</v>
      </c>
      <c r="F62" s="94"/>
      <c r="G62" s="94"/>
      <c r="H62" s="94"/>
      <c r="I62" s="94"/>
      <c r="J62" s="94"/>
      <c r="K62" s="94"/>
      <c r="L62" s="94"/>
      <c r="M62" s="94"/>
      <c r="N62" s="94"/>
      <c r="O62" s="94"/>
      <c r="P62" s="94"/>
      <c r="Q62" s="94"/>
      <c r="R62" s="94"/>
      <c r="S62" s="94"/>
      <c r="T62" s="94"/>
      <c r="U62" s="94"/>
    </row>
    <row r="63" spans="1:21">
      <c r="A63" s="94"/>
      <c r="B63" s="94"/>
      <c r="C63" s="94"/>
      <c r="D63" s="18">
        <v>-850000</v>
      </c>
      <c r="E63" s="234" t="s">
        <v>4910</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4" t="s">
        <v>4913</v>
      </c>
      <c r="F64" s="94"/>
      <c r="G64" s="94"/>
      <c r="H64" s="94" t="s">
        <v>25</v>
      </c>
      <c r="I64" s="94"/>
      <c r="J64" s="94"/>
      <c r="K64" s="94"/>
      <c r="L64" s="94"/>
      <c r="M64" s="94"/>
      <c r="N64" s="94"/>
      <c r="O64" s="94"/>
      <c r="P64" s="94"/>
      <c r="Q64" s="94"/>
      <c r="R64" s="94"/>
      <c r="S64" s="94"/>
      <c r="T64" s="94"/>
      <c r="U64" s="94"/>
    </row>
    <row r="65" spans="1:21">
      <c r="A65" s="94"/>
      <c r="B65" s="94"/>
      <c r="C65" s="94"/>
      <c r="D65" s="18">
        <v>300000</v>
      </c>
      <c r="E65" s="234" t="s">
        <v>4918</v>
      </c>
      <c r="F65" s="94"/>
      <c r="G65" s="94"/>
      <c r="H65" s="94"/>
      <c r="I65" s="94"/>
      <c r="J65" s="94"/>
      <c r="K65" s="94"/>
      <c r="L65" s="94"/>
      <c r="M65" s="94"/>
      <c r="N65" s="94"/>
      <c r="O65" s="94"/>
      <c r="P65" s="94"/>
      <c r="Q65" s="94"/>
      <c r="R65" s="94"/>
      <c r="S65" s="94"/>
      <c r="T65" s="94"/>
      <c r="U65" s="94"/>
    </row>
    <row r="66" spans="1:21">
      <c r="A66" s="94"/>
      <c r="B66" s="94"/>
      <c r="C66" s="94"/>
      <c r="D66" s="18">
        <v>-2290500</v>
      </c>
      <c r="E66" s="234" t="s">
        <v>4919</v>
      </c>
      <c r="F66" s="94"/>
      <c r="G66" s="94"/>
      <c r="H66" s="94"/>
      <c r="I66" s="94"/>
      <c r="J66" s="94"/>
      <c r="K66" s="94"/>
      <c r="L66" s="94"/>
      <c r="M66" s="94"/>
      <c r="N66" s="94"/>
      <c r="O66" s="94"/>
      <c r="P66" s="94"/>
      <c r="Q66" s="94"/>
      <c r="R66" s="94"/>
      <c r="S66" s="94"/>
      <c r="T66" s="94"/>
      <c r="U66" s="94"/>
    </row>
    <row r="67" spans="1:21">
      <c r="A67" s="94"/>
      <c r="B67" s="94"/>
      <c r="C67" s="94"/>
      <c r="D67" s="18">
        <v>1700000</v>
      </c>
      <c r="E67" s="234" t="s">
        <v>4926</v>
      </c>
      <c r="F67" s="94"/>
      <c r="G67" s="94"/>
      <c r="H67" s="94"/>
      <c r="I67" s="94"/>
      <c r="J67" s="94"/>
      <c r="K67" s="94"/>
      <c r="L67" s="94"/>
      <c r="M67" s="94"/>
      <c r="N67" s="94"/>
      <c r="O67" s="94"/>
      <c r="P67" s="94"/>
      <c r="Q67" s="94"/>
      <c r="R67" s="94"/>
      <c r="S67" s="94"/>
      <c r="T67" s="94"/>
      <c r="U67" s="94"/>
    </row>
    <row r="68" spans="1:21">
      <c r="A68" s="94"/>
      <c r="B68" s="94"/>
      <c r="C68" s="94"/>
      <c r="D68" s="18">
        <v>-150000</v>
      </c>
      <c r="E68" s="234" t="s">
        <v>4931</v>
      </c>
      <c r="F68" s="94"/>
      <c r="G68" s="94"/>
      <c r="H68" s="94"/>
      <c r="I68" s="94"/>
      <c r="J68" s="94"/>
      <c r="K68" s="94"/>
      <c r="L68" s="94"/>
      <c r="M68" s="94"/>
      <c r="N68" s="94"/>
      <c r="O68" s="94"/>
      <c r="P68" s="94"/>
      <c r="Q68" s="94"/>
      <c r="R68" s="94"/>
      <c r="S68" s="94"/>
      <c r="T68" s="94"/>
      <c r="U68" s="94"/>
    </row>
    <row r="69" spans="1:21">
      <c r="A69" s="94"/>
      <c r="B69" s="94"/>
      <c r="C69" s="94"/>
      <c r="D69" s="18">
        <v>-550000</v>
      </c>
      <c r="E69" s="234" t="s">
        <v>4934</v>
      </c>
      <c r="F69" s="94"/>
      <c r="G69" s="94" t="s">
        <v>25</v>
      </c>
      <c r="H69" s="94"/>
      <c r="I69" s="94"/>
      <c r="J69" s="94"/>
      <c r="K69" s="94"/>
      <c r="L69" s="94"/>
      <c r="M69" s="94"/>
      <c r="N69" s="94"/>
      <c r="O69" s="94"/>
      <c r="P69" s="94"/>
      <c r="Q69" s="94"/>
      <c r="R69" s="94"/>
      <c r="S69" s="94"/>
      <c r="T69" s="94"/>
      <c r="U69" s="94"/>
    </row>
    <row r="70" spans="1:21">
      <c r="A70" s="94"/>
      <c r="B70" s="94"/>
      <c r="C70" s="94"/>
      <c r="D70" s="18">
        <v>13350000</v>
      </c>
      <c r="E70" s="234" t="s">
        <v>4952</v>
      </c>
      <c r="F70" s="94"/>
      <c r="G70" s="94" t="s">
        <v>25</v>
      </c>
      <c r="H70" s="94"/>
      <c r="I70" s="94"/>
      <c r="J70" s="94"/>
      <c r="K70" s="94"/>
      <c r="L70" s="94"/>
      <c r="M70" s="94"/>
      <c r="N70" s="94"/>
      <c r="O70" s="94"/>
      <c r="P70" s="94"/>
      <c r="Q70" s="94"/>
      <c r="R70" s="94"/>
      <c r="S70" s="94"/>
      <c r="T70" s="94"/>
      <c r="U70" s="94"/>
    </row>
    <row r="71" spans="1:21">
      <c r="A71" s="94"/>
      <c r="B71" s="94"/>
      <c r="C71" s="94"/>
      <c r="D71" s="18">
        <v>-200000</v>
      </c>
      <c r="E71" s="234" t="s">
        <v>4966</v>
      </c>
      <c r="F71" s="94"/>
      <c r="G71" s="94"/>
      <c r="H71" s="94"/>
      <c r="I71" s="94"/>
      <c r="J71" s="94"/>
      <c r="K71" s="94"/>
      <c r="L71" s="94"/>
      <c r="M71" s="94"/>
      <c r="N71" s="94"/>
      <c r="O71" s="94"/>
      <c r="P71" s="94"/>
      <c r="Q71" s="94"/>
      <c r="R71" s="94"/>
      <c r="S71" s="94"/>
      <c r="T71" s="94"/>
      <c r="U71" s="94"/>
    </row>
    <row r="72" spans="1:21">
      <c r="A72" s="94"/>
      <c r="B72" s="94"/>
      <c r="C72" s="94"/>
      <c r="D72" s="18">
        <v>1500000</v>
      </c>
      <c r="E72" s="234" t="s">
        <v>4967</v>
      </c>
      <c r="F72" s="94"/>
      <c r="G72" s="94"/>
      <c r="H72" s="94"/>
      <c r="I72" s="94"/>
      <c r="J72" s="94"/>
      <c r="K72" s="94"/>
      <c r="L72" s="94"/>
      <c r="M72" s="94"/>
      <c r="N72" s="94"/>
      <c r="O72" s="94"/>
      <c r="P72" s="94"/>
      <c r="Q72" s="94"/>
      <c r="R72" s="94"/>
      <c r="S72" s="94"/>
      <c r="T72" s="94"/>
      <c r="U72" s="94"/>
    </row>
    <row r="73" spans="1:21">
      <c r="A73" s="94"/>
      <c r="B73" s="94"/>
      <c r="C73" s="94"/>
      <c r="D73" s="18">
        <v>-550000</v>
      </c>
      <c r="E73" s="234" t="s">
        <v>4971</v>
      </c>
      <c r="F73" s="94"/>
      <c r="G73" s="94"/>
      <c r="H73" s="94"/>
      <c r="I73" s="94"/>
      <c r="J73" s="94"/>
      <c r="K73" s="94"/>
      <c r="L73" s="94"/>
      <c r="M73" s="94"/>
      <c r="N73" s="94"/>
      <c r="O73" s="94"/>
      <c r="P73" s="94"/>
      <c r="Q73" s="94"/>
      <c r="R73" s="94"/>
      <c r="S73" s="94"/>
      <c r="T73" s="94"/>
      <c r="U73" s="94"/>
    </row>
    <row r="74" spans="1:21">
      <c r="A74" s="94"/>
      <c r="B74" s="94"/>
      <c r="C74" s="94"/>
      <c r="D74" s="18">
        <v>-50000</v>
      </c>
      <c r="E74" s="234" t="s">
        <v>4972</v>
      </c>
      <c r="F74" s="94"/>
      <c r="G74" s="94"/>
      <c r="H74" s="94"/>
      <c r="I74" s="94"/>
      <c r="J74" s="94"/>
      <c r="K74" s="94"/>
      <c r="L74" s="94"/>
      <c r="M74" s="94"/>
      <c r="N74" s="94"/>
      <c r="O74" s="94"/>
      <c r="P74" s="94"/>
      <c r="Q74" s="94"/>
      <c r="R74" s="94"/>
      <c r="S74" s="94"/>
      <c r="T74" s="94"/>
      <c r="U74" s="94"/>
    </row>
    <row r="75" spans="1:21">
      <c r="A75" s="94"/>
      <c r="B75" s="94"/>
      <c r="C75" s="94"/>
      <c r="D75" s="18">
        <v>-60000</v>
      </c>
      <c r="E75" s="234" t="s">
        <v>4973</v>
      </c>
      <c r="F75" s="94"/>
      <c r="G75" s="94"/>
      <c r="H75" s="94"/>
      <c r="I75" s="94"/>
      <c r="J75" s="94"/>
      <c r="K75" s="94"/>
      <c r="L75" s="94"/>
      <c r="M75" s="94"/>
      <c r="N75" s="94"/>
      <c r="O75" s="94"/>
      <c r="P75" s="94"/>
      <c r="Q75" s="94"/>
      <c r="R75" s="94"/>
      <c r="S75" s="94"/>
      <c r="T75" s="94"/>
      <c r="U75" s="94"/>
    </row>
    <row r="76" spans="1:21">
      <c r="A76" s="94"/>
      <c r="B76" s="94"/>
      <c r="C76" s="94"/>
      <c r="D76" s="18">
        <v>-43000</v>
      </c>
      <c r="E76" s="234" t="s">
        <v>4981</v>
      </c>
      <c r="F76" s="94"/>
      <c r="G76" s="94"/>
      <c r="H76" s="94"/>
      <c r="I76" s="94" t="s">
        <v>25</v>
      </c>
      <c r="J76" s="94"/>
      <c r="K76" s="94"/>
      <c r="L76" s="94"/>
      <c r="M76" s="94"/>
      <c r="N76" s="94"/>
      <c r="O76" s="94"/>
      <c r="P76" s="94"/>
      <c r="Q76" s="94"/>
      <c r="R76" s="94"/>
      <c r="S76" s="94"/>
      <c r="T76" s="94"/>
      <c r="U76" s="94"/>
    </row>
    <row r="77" spans="1:21">
      <c r="A77" s="94"/>
      <c r="B77" s="94"/>
      <c r="C77" s="94"/>
      <c r="D77" s="18">
        <v>-320000</v>
      </c>
      <c r="E77" s="234" t="s">
        <v>4987</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4" t="s">
        <v>4988</v>
      </c>
      <c r="F78" s="94"/>
      <c r="G78" s="94"/>
      <c r="H78" s="94"/>
      <c r="I78" s="94"/>
      <c r="J78" s="94"/>
      <c r="K78" s="94"/>
      <c r="L78" s="94"/>
      <c r="M78" s="94"/>
      <c r="N78" s="94"/>
      <c r="O78" s="94"/>
      <c r="P78" s="94"/>
      <c r="Q78" s="94"/>
      <c r="R78" s="94"/>
      <c r="S78" s="94"/>
      <c r="T78" s="94"/>
      <c r="U78" s="94"/>
    </row>
    <row r="79" spans="1:21">
      <c r="A79" s="94"/>
      <c r="B79" s="94"/>
      <c r="C79" s="94"/>
      <c r="D79" s="18">
        <v>-750000</v>
      </c>
      <c r="E79" s="234" t="s">
        <v>4994</v>
      </c>
      <c r="F79" s="94"/>
      <c r="G79" s="94"/>
      <c r="H79" s="94"/>
      <c r="I79" s="94"/>
      <c r="J79" s="94"/>
      <c r="K79" s="94"/>
      <c r="L79" s="94"/>
      <c r="M79" s="94"/>
      <c r="N79" s="94"/>
      <c r="O79" s="94"/>
      <c r="P79" s="94"/>
      <c r="Q79" s="94"/>
      <c r="R79" s="94"/>
      <c r="S79" s="94"/>
      <c r="T79" s="94"/>
      <c r="U79" s="94"/>
    </row>
    <row r="80" spans="1:21">
      <c r="A80" s="94"/>
      <c r="B80" s="94"/>
      <c r="C80" s="94"/>
      <c r="D80" s="18">
        <v>50000</v>
      </c>
      <c r="E80" s="234" t="s">
        <v>5006</v>
      </c>
      <c r="F80" s="94"/>
      <c r="G80" s="94"/>
      <c r="H80" s="94"/>
      <c r="I80" s="94"/>
      <c r="J80" s="94"/>
      <c r="K80" s="94"/>
      <c r="L80" s="94"/>
      <c r="M80" s="94"/>
      <c r="N80" s="94"/>
      <c r="O80" s="94"/>
      <c r="P80" s="94"/>
      <c r="Q80" s="94"/>
      <c r="R80" s="94"/>
      <c r="S80" s="94"/>
      <c r="T80" s="94"/>
      <c r="U80" s="94"/>
    </row>
    <row r="81" spans="1:21">
      <c r="A81" s="94"/>
      <c r="B81" s="94"/>
      <c r="C81" s="94"/>
      <c r="D81" s="18">
        <v>500000</v>
      </c>
      <c r="E81" s="234" t="s">
        <v>5019</v>
      </c>
      <c r="F81" s="94"/>
      <c r="G81" s="94"/>
      <c r="H81" s="94"/>
      <c r="I81" s="94"/>
      <c r="J81" s="94"/>
      <c r="K81" s="94"/>
      <c r="L81" s="94"/>
      <c r="M81" s="94"/>
      <c r="N81" s="94"/>
      <c r="O81" s="94"/>
      <c r="P81" s="94"/>
      <c r="Q81" s="94"/>
      <c r="R81" s="94"/>
      <c r="S81" s="94"/>
      <c r="T81" s="94"/>
      <c r="U81" s="94"/>
    </row>
    <row r="82" spans="1:21">
      <c r="A82" s="94"/>
      <c r="B82" s="94"/>
      <c r="C82" s="94"/>
      <c r="D82" s="18">
        <v>1500000</v>
      </c>
      <c r="E82" s="234" t="s">
        <v>5018</v>
      </c>
      <c r="F82" s="94"/>
      <c r="G82" s="94"/>
      <c r="H82" s="94"/>
      <c r="I82" s="94"/>
      <c r="J82" s="94"/>
      <c r="K82" s="94"/>
      <c r="L82" s="94"/>
      <c r="M82" s="94"/>
      <c r="N82" s="94"/>
      <c r="O82" s="94"/>
      <c r="P82" s="94"/>
      <c r="Q82" s="94"/>
      <c r="R82" s="94"/>
      <c r="S82" s="94"/>
      <c r="T82" s="94"/>
      <c r="U82" s="94"/>
    </row>
    <row r="83" spans="1:21">
      <c r="D83" s="18">
        <v>-510000</v>
      </c>
      <c r="E83" s="234" t="s">
        <v>5020</v>
      </c>
      <c r="H83" t="s">
        <v>25</v>
      </c>
    </row>
    <row r="84" spans="1:21">
      <c r="D84" s="18">
        <v>-400000</v>
      </c>
      <c r="E84" s="234" t="s">
        <v>5034</v>
      </c>
    </row>
    <row r="85" spans="1:21">
      <c r="D85" s="18">
        <v>250000</v>
      </c>
      <c r="E85" s="234" t="s">
        <v>5040</v>
      </c>
    </row>
    <row r="86" spans="1:21">
      <c r="D86" s="18">
        <v>-50000</v>
      </c>
      <c r="E86" s="234" t="s">
        <v>5041</v>
      </c>
    </row>
    <row r="87" spans="1:21">
      <c r="D87" s="18">
        <v>-300000</v>
      </c>
      <c r="E87" s="234" t="s">
        <v>5045</v>
      </c>
    </row>
    <row r="88" spans="1:21">
      <c r="D88" s="18">
        <v>-100000</v>
      </c>
      <c r="E88" s="234" t="s">
        <v>5056</v>
      </c>
      <c r="I88" t="s">
        <v>25</v>
      </c>
    </row>
    <row r="89" spans="1:21">
      <c r="D89" s="18">
        <v>-250000</v>
      </c>
      <c r="E89" s="234" t="s">
        <v>5066</v>
      </c>
    </row>
    <row r="90" spans="1:21">
      <c r="D90" s="18">
        <v>-45000</v>
      </c>
      <c r="E90" s="234" t="s">
        <v>5089</v>
      </c>
    </row>
    <row r="91" spans="1:21">
      <c r="D91" s="18">
        <v>3000000</v>
      </c>
      <c r="E91" s="234" t="s">
        <v>5090</v>
      </c>
      <c r="I91" t="s">
        <v>25</v>
      </c>
    </row>
    <row r="92" spans="1:21">
      <c r="D92" s="18">
        <v>-550000</v>
      </c>
      <c r="E92" s="234" t="s">
        <v>5091</v>
      </c>
    </row>
    <row r="93" spans="1:21">
      <c r="D93" s="18">
        <v>-200000</v>
      </c>
      <c r="E93" s="234" t="s">
        <v>5103</v>
      </c>
      <c r="G93" t="s">
        <v>25</v>
      </c>
    </row>
    <row r="94" spans="1:21">
      <c r="D94" s="18">
        <v>-30500</v>
      </c>
      <c r="E94" s="234" t="s">
        <v>5104</v>
      </c>
    </row>
    <row r="95" spans="1:21">
      <c r="D95" s="18">
        <v>2500000</v>
      </c>
      <c r="E95" s="234" t="s">
        <v>5136</v>
      </c>
      <c r="I95" t="s">
        <v>25</v>
      </c>
    </row>
    <row r="96" spans="1:21">
      <c r="D96" s="18">
        <v>-230000</v>
      </c>
      <c r="E96" s="234" t="s">
        <v>5142</v>
      </c>
    </row>
    <row r="97" spans="4:10">
      <c r="D97" s="18">
        <v>-168950</v>
      </c>
      <c r="E97" s="234" t="s">
        <v>4375</v>
      </c>
      <c r="J97" t="s">
        <v>25</v>
      </c>
    </row>
    <row r="98" spans="4:10">
      <c r="D98" s="18">
        <v>-250000</v>
      </c>
      <c r="E98" s="234" t="s">
        <v>5153</v>
      </c>
    </row>
    <row r="99" spans="4:10">
      <c r="D99" s="18">
        <v>500000</v>
      </c>
      <c r="E99" s="234" t="s">
        <v>5164</v>
      </c>
    </row>
    <row r="100" spans="4:10">
      <c r="D100" s="18">
        <v>-520000</v>
      </c>
      <c r="E100" s="234" t="s">
        <v>5163</v>
      </c>
      <c r="J100" t="s">
        <v>25</v>
      </c>
    </row>
    <row r="101" spans="4:10">
      <c r="D101" s="18">
        <v>500000</v>
      </c>
      <c r="E101" s="234" t="s">
        <v>5174</v>
      </c>
    </row>
    <row r="102" spans="4:10">
      <c r="D102" s="18">
        <v>-200000</v>
      </c>
      <c r="E102" s="234" t="s">
        <v>5178</v>
      </c>
    </row>
    <row r="103" spans="4:10">
      <c r="D103" s="18">
        <v>-300000</v>
      </c>
      <c r="E103" s="234" t="s">
        <v>5179</v>
      </c>
    </row>
    <row r="104" spans="4:10">
      <c r="D104" s="18">
        <v>-530000</v>
      </c>
      <c r="E104" s="234" t="s">
        <v>5197</v>
      </c>
    </row>
    <row r="105" spans="4:10">
      <c r="D105" s="18">
        <v>-550000</v>
      </c>
      <c r="E105" s="234" t="s">
        <v>5199</v>
      </c>
    </row>
    <row r="106" spans="4:10">
      <c r="D106" s="18">
        <v>-200000</v>
      </c>
      <c r="E106" s="234" t="s">
        <v>5221</v>
      </c>
    </row>
    <row r="107" spans="4:10">
      <c r="D107" s="18">
        <v>-1600000</v>
      </c>
      <c r="E107" s="234" t="s">
        <v>5223</v>
      </c>
      <c r="G107" t="s">
        <v>25</v>
      </c>
    </row>
    <row r="108" spans="4:10">
      <c r="D108" s="18">
        <v>1600000</v>
      </c>
      <c r="E108" s="234" t="s">
        <v>5227</v>
      </c>
    </row>
    <row r="109" spans="4:10">
      <c r="D109" s="18">
        <v>-550000</v>
      </c>
      <c r="E109" s="234" t="s">
        <v>5229</v>
      </c>
    </row>
    <row r="110" spans="4:10">
      <c r="D110" s="18">
        <v>-15000</v>
      </c>
      <c r="E110" s="234" t="s">
        <v>5234</v>
      </c>
    </row>
    <row r="111" spans="4:10">
      <c r="D111" s="18">
        <v>-325000</v>
      </c>
      <c r="E111" s="234" t="s">
        <v>5247</v>
      </c>
    </row>
    <row r="112" spans="4:10">
      <c r="D112" s="18">
        <v>-130000</v>
      </c>
      <c r="E112" s="234" t="s">
        <v>5248</v>
      </c>
    </row>
    <row r="113" spans="4:10">
      <c r="D113" s="18">
        <v>-250000</v>
      </c>
      <c r="E113" s="234" t="s">
        <v>5256</v>
      </c>
      <c r="J113" t="s">
        <v>25</v>
      </c>
    </row>
    <row r="114" spans="4:10">
      <c r="D114" s="18">
        <v>-750000</v>
      </c>
      <c r="E114" s="234" t="s">
        <v>5259</v>
      </c>
    </row>
    <row r="115" spans="4:10">
      <c r="D115" s="18">
        <v>250000</v>
      </c>
      <c r="E115" s="234" t="s">
        <v>5265</v>
      </c>
    </row>
    <row r="116" spans="4:10">
      <c r="D116" s="18">
        <v>-2100000</v>
      </c>
      <c r="E116" s="234" t="s">
        <v>5277</v>
      </c>
    </row>
    <row r="117" spans="4:10">
      <c r="D117" s="18">
        <v>-1000000</v>
      </c>
      <c r="E117" s="234" t="s">
        <v>5285</v>
      </c>
    </row>
    <row r="118" spans="4:10">
      <c r="D118" s="18">
        <v>-100000</v>
      </c>
      <c r="E118" s="234" t="s">
        <v>5286</v>
      </c>
    </row>
    <row r="119" spans="4:10">
      <c r="D119" s="18">
        <v>-550000</v>
      </c>
      <c r="E119" s="234" t="s">
        <v>5316</v>
      </c>
    </row>
    <row r="120" spans="4:10">
      <c r="D120" s="18">
        <v>-550000</v>
      </c>
      <c r="E120" s="234" t="s">
        <v>5317</v>
      </c>
    </row>
    <row r="121" spans="4:10">
      <c r="D121" s="18">
        <v>-390000</v>
      </c>
      <c r="E121" s="234" t="s">
        <v>5339</v>
      </c>
      <c r="H121" t="s">
        <v>25</v>
      </c>
      <c r="J121" t="s">
        <v>25</v>
      </c>
    </row>
    <row r="122" spans="4:10">
      <c r="D122" s="18">
        <v>2432520</v>
      </c>
      <c r="E122" s="234" t="s">
        <v>5340</v>
      </c>
    </row>
    <row r="123" spans="4:10">
      <c r="D123" s="18">
        <v>8000000</v>
      </c>
      <c r="E123" s="234" t="s">
        <v>5355</v>
      </c>
    </row>
    <row r="124" spans="4:10">
      <c r="D124" s="18">
        <v>-83930</v>
      </c>
      <c r="E124" s="234" t="s">
        <v>5364</v>
      </c>
    </row>
    <row r="125" spans="4:10">
      <c r="D125" s="18">
        <v>1000000</v>
      </c>
      <c r="E125" s="234" t="s">
        <v>5392</v>
      </c>
    </row>
    <row r="126" spans="4:10">
      <c r="D126" s="18">
        <v>-1333333</v>
      </c>
      <c r="E126" s="234" t="s">
        <v>5393</v>
      </c>
      <c r="J126" t="s">
        <v>25</v>
      </c>
    </row>
    <row r="127" spans="4:10">
      <c r="D127" s="18">
        <v>-1050000</v>
      </c>
      <c r="E127" s="234" t="s">
        <v>5409</v>
      </c>
    </row>
    <row r="128" spans="4:10">
      <c r="D128" s="18">
        <v>-2000000</v>
      </c>
      <c r="E128" s="234" t="s">
        <v>5416</v>
      </c>
      <c r="I128" t="s">
        <v>25</v>
      </c>
    </row>
    <row r="129" spans="4:5">
      <c r="D129" s="18">
        <v>-250000</v>
      </c>
      <c r="E129" s="234" t="s">
        <v>5424</v>
      </c>
    </row>
    <row r="130" spans="4:5">
      <c r="D130" s="18">
        <v>-550000</v>
      </c>
      <c r="E130" s="234" t="s">
        <v>5428</v>
      </c>
    </row>
    <row r="131" spans="4:5">
      <c r="D131" s="18">
        <v>210000</v>
      </c>
      <c r="E131" s="234" t="s">
        <v>5429</v>
      </c>
    </row>
    <row r="132" spans="4:5">
      <c r="D132" s="18">
        <v>-724200</v>
      </c>
      <c r="E132" s="234" t="s">
        <v>5460</v>
      </c>
    </row>
    <row r="133" spans="4:5">
      <c r="D133" s="18">
        <v>-400000</v>
      </c>
      <c r="E133" s="234" t="s">
        <v>5470</v>
      </c>
    </row>
    <row r="134" spans="4:5">
      <c r="D134" s="18">
        <v>-550000</v>
      </c>
      <c r="E134" s="234" t="s">
        <v>5478</v>
      </c>
    </row>
    <row r="135" spans="4:5">
      <c r="D135" s="18">
        <v>-2167000</v>
      </c>
      <c r="E135" s="234" t="s">
        <v>5481</v>
      </c>
    </row>
    <row r="136" spans="4:5">
      <c r="D136" s="18">
        <v>-125000</v>
      </c>
      <c r="E136" s="234" t="s">
        <v>5488</v>
      </c>
    </row>
    <row r="137" spans="4:5">
      <c r="D137" s="18">
        <v>-200000</v>
      </c>
      <c r="E137" s="234" t="s">
        <v>5495</v>
      </c>
    </row>
    <row r="138" spans="4:5">
      <c r="D138" s="18">
        <v>-2000000</v>
      </c>
      <c r="E138" s="234" t="s">
        <v>5509</v>
      </c>
    </row>
    <row r="139" spans="4:5">
      <c r="D139" s="18">
        <v>-1287000</v>
      </c>
      <c r="E139" s="234" t="s">
        <v>5515</v>
      </c>
    </row>
    <row r="140" spans="4:5">
      <c r="D140" s="18">
        <v>-2000000</v>
      </c>
      <c r="E140" s="234" t="s">
        <v>5519</v>
      </c>
    </row>
    <row r="141" spans="4:5">
      <c r="D141" s="18">
        <v>-2500000</v>
      </c>
      <c r="E141" s="234" t="s">
        <v>5520</v>
      </c>
    </row>
    <row r="142" spans="4:5">
      <c r="D142" s="18">
        <v>-500000</v>
      </c>
      <c r="E142" s="234" t="s">
        <v>5536</v>
      </c>
    </row>
    <row r="143" spans="4:5">
      <c r="D143" s="18">
        <v>-83930</v>
      </c>
      <c r="E143" s="234" t="s">
        <v>5544</v>
      </c>
    </row>
    <row r="144" spans="4:5">
      <c r="D144" s="18">
        <v>-550000</v>
      </c>
      <c r="E144" s="234" t="s">
        <v>5543</v>
      </c>
    </row>
    <row r="145" spans="4:9">
      <c r="D145" s="18">
        <v>-25000</v>
      </c>
      <c r="E145" s="234" t="s">
        <v>5552</v>
      </c>
      <c r="I145" t="s">
        <v>25</v>
      </c>
    </row>
    <row r="146" spans="4:9">
      <c r="D146" s="18">
        <v>-180000</v>
      </c>
      <c r="E146" s="234" t="s">
        <v>5604</v>
      </c>
      <c r="G146" t="s">
        <v>25</v>
      </c>
    </row>
    <row r="147" spans="4:9">
      <c r="D147" s="18">
        <v>-30000</v>
      </c>
      <c r="E147" s="234" t="s">
        <v>5603</v>
      </c>
    </row>
    <row r="148" spans="4:9">
      <c r="D148" s="18">
        <v>-47000</v>
      </c>
      <c r="E148" s="234" t="s">
        <v>5602</v>
      </c>
    </row>
    <row r="149" spans="4:9">
      <c r="D149" s="18">
        <v>-1000000</v>
      </c>
      <c r="E149" s="234" t="s">
        <v>5605</v>
      </c>
    </row>
    <row r="150" spans="4:9">
      <c r="D150" s="18">
        <v>-500000</v>
      </c>
      <c r="E150" s="234" t="s">
        <v>5618</v>
      </c>
    </row>
    <row r="151" spans="4:9">
      <c r="D151" s="18">
        <v>-5000000</v>
      </c>
      <c r="E151" s="234" t="s">
        <v>5623</v>
      </c>
    </row>
    <row r="152" spans="4:9">
      <c r="D152" s="18">
        <v>-200000</v>
      </c>
      <c r="E152" s="234" t="s">
        <v>5633</v>
      </c>
    </row>
    <row r="153" spans="4:9">
      <c r="D153" s="18">
        <v>-268000</v>
      </c>
      <c r="E153" s="234" t="s">
        <v>5666</v>
      </c>
      <c r="I153" t="s">
        <v>25</v>
      </c>
    </row>
    <row r="154" spans="4:9">
      <c r="D154" s="18">
        <v>-1800000</v>
      </c>
      <c r="E154" s="234" t="s">
        <v>5682</v>
      </c>
    </row>
    <row r="155" spans="4:9" ht="30">
      <c r="D155" s="18">
        <v>-3200000</v>
      </c>
      <c r="E155" s="234" t="s">
        <v>5683</v>
      </c>
      <c r="I155" t="s">
        <v>25</v>
      </c>
    </row>
    <row r="156" spans="4:9">
      <c r="D156" s="18">
        <v>-300000</v>
      </c>
      <c r="E156" s="234" t="s">
        <v>5692</v>
      </c>
    </row>
    <row r="157" spans="4:9">
      <c r="D157" s="18">
        <v>-1300000</v>
      </c>
      <c r="E157" s="234" t="s">
        <v>5693</v>
      </c>
    </row>
    <row r="158" spans="4:9">
      <c r="D158" s="18">
        <v>860000</v>
      </c>
      <c r="E158" s="234" t="s">
        <v>5708</v>
      </c>
    </row>
    <row r="159" spans="4:9">
      <c r="D159" s="18">
        <v>-83900</v>
      </c>
      <c r="E159" s="234" t="s">
        <v>5716</v>
      </c>
      <c r="I159" t="s">
        <v>25</v>
      </c>
    </row>
    <row r="160" spans="4:9">
      <c r="D160" s="18">
        <v>-3810000</v>
      </c>
      <c r="E160" s="234" t="s">
        <v>5731</v>
      </c>
      <c r="H160" t="s">
        <v>25</v>
      </c>
    </row>
    <row r="161" spans="4:11">
      <c r="D161" s="18">
        <v>30000000</v>
      </c>
      <c r="E161" s="234" t="s">
        <v>5832</v>
      </c>
      <c r="I161" t="s">
        <v>25</v>
      </c>
    </row>
    <row r="162" spans="4:11">
      <c r="D162" s="18">
        <v>50000000</v>
      </c>
      <c r="E162" s="234" t="s">
        <v>5841</v>
      </c>
    </row>
    <row r="163" spans="4:11">
      <c r="D163" s="18">
        <v>-19100000</v>
      </c>
      <c r="E163" s="234" t="s">
        <v>5840</v>
      </c>
    </row>
    <row r="164" spans="4:11">
      <c r="D164" s="18">
        <v>1470000</v>
      </c>
      <c r="E164" s="234" t="s">
        <v>6401</v>
      </c>
      <c r="I164" t="s">
        <v>25</v>
      </c>
    </row>
    <row r="165" spans="4:11">
      <c r="D165" s="18">
        <v>-2540000</v>
      </c>
      <c r="E165" s="234" t="s">
        <v>6402</v>
      </c>
      <c r="K165" t="s">
        <v>25</v>
      </c>
    </row>
    <row r="166" spans="4:11">
      <c r="D166" s="18">
        <v>-1040000</v>
      </c>
      <c r="E166" s="234" t="s">
        <v>6403</v>
      </c>
    </row>
    <row r="167" spans="4:11">
      <c r="D167" s="18">
        <v>-50252149</v>
      </c>
      <c r="E167" s="234" t="s">
        <v>6415</v>
      </c>
    </row>
    <row r="168" spans="4:11">
      <c r="D168" s="18">
        <v>-1500000</v>
      </c>
      <c r="E168" s="234" t="s">
        <v>6706</v>
      </c>
    </row>
    <row r="169" spans="4:11">
      <c r="D169" s="18">
        <v>-2500000</v>
      </c>
      <c r="E169" s="234" t="s">
        <v>6707</v>
      </c>
      <c r="H169" t="s">
        <v>25</v>
      </c>
    </row>
    <row r="170" spans="4:11">
      <c r="D170" s="18">
        <v>-2600000</v>
      </c>
      <c r="E170" s="234" t="s">
        <v>6712</v>
      </c>
    </row>
    <row r="171" spans="4:11">
      <c r="D171" s="18">
        <v>-2060000</v>
      </c>
      <c r="E171" s="234" t="s">
        <v>6768</v>
      </c>
    </row>
    <row r="172" spans="4:11">
      <c r="D172" s="18"/>
      <c r="E172" s="234"/>
    </row>
    <row r="173" spans="4:11">
      <c r="D173" s="18"/>
      <c r="E173" s="234"/>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71</vt:i4>
      </vt:variant>
    </vt:vector>
  </HeadingPairs>
  <TitlesOfParts>
    <vt:vector size="71" baseType="lpstr">
      <vt:lpstr>دلار</vt:lpstr>
      <vt:lpstr>AgentBased</vt:lpstr>
      <vt:lpstr>وسپه</vt:lpstr>
      <vt:lpstr>تاپیکو</vt:lpstr>
      <vt:lpstr>ومهان</vt:lpstr>
      <vt:lpstr>سهام بنیادی</vt:lpstr>
      <vt:lpstr>وغدیر</vt:lpstr>
      <vt:lpstr>مهدی</vt:lpstr>
      <vt:lpstr>فروردین 98</vt:lpstr>
      <vt:lpstr>سارا</vt:lpstr>
      <vt:lpstr>مسکن ایلیا</vt:lpstr>
      <vt:lpstr>مسکن مریم یاران</vt:lpstr>
      <vt:lpstr>برنامه 5 ساله</vt:lpstr>
      <vt:lpstr>خرید و فروش نسبتی</vt:lpstr>
      <vt:lpstr>نقدینگی</vt:lpstr>
      <vt:lpstr>بدهی خانه</vt:lpstr>
      <vt:lpstr>معاملات مرتبط</vt:lpstr>
      <vt:lpstr>خرید و فروش سکه فیزیکی</vt:lpstr>
      <vt:lpstr>مسکن علی سید الشهدا</vt:lpstr>
      <vt:lpstr>استراتژی جدید</vt:lpstr>
      <vt:lpstr>strategy</vt:lpstr>
      <vt:lpstr>مسکن مریم سید الشهدا</vt:lpstr>
      <vt:lpstr>سرمایه گذاری ها</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2022-03-15T13:08:12Z</dcterms:modified>
</cp:coreProperties>
</file>