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99" i="63" l="1"/>
  <c r="L99" i="63"/>
  <c r="F128" i="63"/>
  <c r="C128" i="63"/>
  <c r="I122" i="63"/>
  <c r="P28" i="18" l="1"/>
  <c r="W446" i="18"/>
  <c r="G122" i="63" l="1"/>
  <c r="H122" i="63"/>
  <c r="W445" i="18" l="1"/>
  <c r="G105" i="63"/>
  <c r="H105" i="63"/>
  <c r="I105" i="63"/>
  <c r="O51" i="18"/>
  <c r="G97" i="63"/>
  <c r="H97" i="63"/>
  <c r="I97" i="63"/>
  <c r="H305" i="18" l="1"/>
  <c r="I112" i="63"/>
  <c r="K105" i="63" l="1"/>
  <c r="H87" i="63" l="1"/>
  <c r="P107" i="60" l="1"/>
  <c r="K97" i="63" l="1"/>
  <c r="L45" i="18"/>
  <c r="W442" i="18" l="1"/>
  <c r="R165" i="18" l="1"/>
  <c r="R164" i="18"/>
  <c r="R163" i="18"/>
  <c r="W441" i="18" l="1"/>
  <c r="G95" i="63" l="1"/>
  <c r="H95" i="63"/>
  <c r="I95" i="63"/>
  <c r="G96" i="63"/>
  <c r="H96" i="63"/>
  <c r="I96" i="63"/>
  <c r="G98" i="63"/>
  <c r="H98" i="63"/>
  <c r="K98" i="63" s="1"/>
  <c r="I98" i="63"/>
  <c r="K96" i="63" l="1"/>
  <c r="F29" i="60"/>
  <c r="G29" i="60" s="1"/>
  <c r="G119" i="63" l="1"/>
  <c r="H119" i="63"/>
  <c r="I119" i="63"/>
  <c r="G120" i="63"/>
  <c r="H120" i="63"/>
  <c r="I120" i="63"/>
  <c r="G121" i="63"/>
  <c r="H121" i="63"/>
  <c r="I121" i="63"/>
  <c r="G126" i="63"/>
  <c r="H126" i="63"/>
  <c r="I126" i="63"/>
  <c r="G127" i="63"/>
  <c r="H127" i="63"/>
  <c r="I127" i="63"/>
  <c r="G118" i="63"/>
  <c r="H118" i="63"/>
  <c r="I118" i="63"/>
  <c r="G117" i="63"/>
  <c r="I117" i="63"/>
  <c r="H117" i="63"/>
  <c r="W440" i="18"/>
  <c r="K127" i="63" l="1"/>
  <c r="K121" i="63"/>
  <c r="K119" i="63"/>
  <c r="K126" i="63"/>
  <c r="K120" i="63"/>
  <c r="K118" i="63"/>
  <c r="H128" i="63"/>
  <c r="K128" i="63" s="1"/>
  <c r="I128" i="63"/>
  <c r="G128" i="63"/>
  <c r="J154" i="18"/>
  <c r="F99" i="63"/>
  <c r="C99" i="63"/>
  <c r="L128" i="63" l="1"/>
  <c r="W439" i="18"/>
  <c r="J43" i="18"/>
  <c r="J44" i="18" s="1"/>
  <c r="P41" i="18"/>
  <c r="G102" i="63"/>
  <c r="H102" i="63"/>
  <c r="I102" i="63"/>
  <c r="G103" i="63"/>
  <c r="H103" i="63"/>
  <c r="I103" i="63"/>
  <c r="G104" i="63"/>
  <c r="H104" i="63"/>
  <c r="I104" i="63"/>
  <c r="G106" i="63"/>
  <c r="H106" i="63"/>
  <c r="I106" i="63"/>
  <c r="G107" i="63"/>
  <c r="H107" i="63"/>
  <c r="I107" i="63"/>
  <c r="F108" i="63"/>
  <c r="C108" i="63"/>
  <c r="G88" i="63"/>
  <c r="H88" i="63"/>
  <c r="I88" i="63"/>
  <c r="G89" i="63"/>
  <c r="H89" i="63"/>
  <c r="I89" i="63"/>
  <c r="G90" i="63"/>
  <c r="H90" i="63"/>
  <c r="I90" i="63"/>
  <c r="G91" i="63"/>
  <c r="H91" i="63"/>
  <c r="I91" i="63"/>
  <c r="S96" i="18"/>
  <c r="K104" i="63" l="1"/>
  <c r="K107" i="63"/>
  <c r="K103" i="63"/>
  <c r="K89" i="63"/>
  <c r="K106" i="63"/>
  <c r="K90" i="63"/>
  <c r="W438" i="18"/>
  <c r="W437" i="18" l="1"/>
  <c r="D165" i="58" l="1"/>
  <c r="F92" i="63" l="1"/>
  <c r="C92" i="63"/>
  <c r="H92" i="63" l="1"/>
  <c r="K92" i="63" s="1"/>
  <c r="O473" i="52"/>
  <c r="J473" i="52"/>
  <c r="W432" i="18" l="1"/>
  <c r="W433" i="18"/>
  <c r="W434" i="18"/>
  <c r="W435" i="18"/>
  <c r="W436" i="18"/>
  <c r="W443" i="18"/>
  <c r="W444" i="18"/>
  <c r="W452" i="18"/>
  <c r="AL448" i="18"/>
  <c r="O472" i="52"/>
  <c r="J472" i="52"/>
  <c r="AM448" i="18" l="1"/>
  <c r="AL447" i="18"/>
  <c r="AM447" i="18" l="1"/>
  <c r="AL446" i="18"/>
  <c r="R490" i="18"/>
  <c r="W431" i="18"/>
  <c r="W430" i="18"/>
  <c r="W429" i="18"/>
  <c r="W428" i="18"/>
  <c r="W427" i="18"/>
  <c r="W426" i="18"/>
  <c r="J468" i="52"/>
  <c r="O468" i="52"/>
  <c r="AL445" i="18" l="1"/>
  <c r="AM446" i="18"/>
  <c r="G101" i="63"/>
  <c r="H101" i="63"/>
  <c r="K102" i="63" s="1"/>
  <c r="I101"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9" i="18"/>
  <c r="W420" i="18"/>
  <c r="W421" i="18"/>
  <c r="W422" i="18"/>
  <c r="W423" i="18"/>
  <c r="W424" i="18"/>
  <c r="W425" i="18"/>
  <c r="AL437" i="18" l="1"/>
  <c r="AM437" i="18" s="1"/>
  <c r="AM438" i="18"/>
  <c r="O454" i="52"/>
  <c r="J454" i="52"/>
  <c r="W418" i="18" l="1"/>
  <c r="G94" i="63"/>
  <c r="H94" i="63"/>
  <c r="K95" i="63" s="1"/>
  <c r="I94" i="63"/>
  <c r="I99" i="63" l="1"/>
  <c r="H99" i="63"/>
  <c r="B131" i="63" l="1"/>
  <c r="G119" i="18"/>
  <c r="J119" i="18" s="1"/>
  <c r="G118" i="18"/>
  <c r="J118" i="18" s="1"/>
  <c r="I122" i="18" l="1"/>
  <c r="W417" i="18"/>
  <c r="W416" i="18"/>
  <c r="U453" i="18"/>
  <c r="W415" i="18" l="1"/>
  <c r="W414" i="18"/>
  <c r="W413" i="18" l="1"/>
  <c r="G112" i="63"/>
  <c r="W412" i="18" l="1"/>
  <c r="W411" i="18" l="1"/>
  <c r="W410" i="18" l="1"/>
  <c r="W409" i="18" l="1"/>
  <c r="W408"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7" i="18"/>
  <c r="P454" i="52" l="1"/>
  <c r="P456" i="52"/>
  <c r="P460" i="52"/>
  <c r="P453" i="52"/>
  <c r="P449" i="52"/>
  <c r="P445" i="52"/>
  <c r="P461" i="52"/>
  <c r="P452" i="52"/>
  <c r="P448" i="52"/>
  <c r="P459" i="52"/>
  <c r="P450" i="52"/>
  <c r="P446" i="52"/>
  <c r="P442" i="52"/>
  <c r="P457" i="52"/>
  <c r="P455" i="52"/>
  <c r="P451" i="52"/>
  <c r="P447" i="52"/>
  <c r="P462" i="52"/>
  <c r="P458" i="52"/>
  <c r="P444" i="52"/>
  <c r="P443" i="52"/>
  <c r="W406" i="18"/>
  <c r="W405" i="18" l="1"/>
  <c r="W404" i="18" l="1"/>
  <c r="W403" i="18" l="1"/>
  <c r="W402" i="18" l="1"/>
  <c r="G87" i="63" l="1"/>
  <c r="I87" i="63"/>
  <c r="K88" i="63" l="1"/>
  <c r="W401" i="18"/>
  <c r="W400" i="18" l="1"/>
  <c r="W399" i="18" l="1"/>
  <c r="G113" i="63"/>
  <c r="W398" i="18" l="1"/>
  <c r="W397" i="18" l="1"/>
  <c r="W396" i="18" l="1"/>
  <c r="V144" i="18" l="1"/>
  <c r="W395" i="18"/>
  <c r="I166" i="18" l="1"/>
  <c r="G166" i="18"/>
  <c r="W391" i="18"/>
  <c r="W394" i="18"/>
  <c r="W393" i="18" l="1"/>
  <c r="W392" i="18" l="1"/>
  <c r="W390" i="18" l="1"/>
  <c r="W389" i="18" l="1"/>
  <c r="W387" i="18" l="1"/>
  <c r="W386" i="18"/>
  <c r="W385" i="18"/>
  <c r="W381" i="18"/>
  <c r="W382" i="18"/>
  <c r="W383" i="18"/>
  <c r="W384" i="18"/>
  <c r="W380" i="18"/>
  <c r="W388" i="18"/>
  <c r="V145" i="18" l="1"/>
  <c r="L44" i="18"/>
  <c r="T137" i="18" l="1"/>
  <c r="W379" i="18"/>
  <c r="W378" i="18" l="1"/>
  <c r="W377" i="18" l="1"/>
  <c r="W376" i="18" l="1"/>
  <c r="W375" i="18" l="1"/>
  <c r="W374" i="18" l="1"/>
  <c r="W373" i="18"/>
  <c r="J113"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1" i="18"/>
  <c r="W370" i="18" l="1"/>
  <c r="W369" i="18" l="1"/>
  <c r="W368" i="18" l="1"/>
  <c r="W367" i="18" l="1"/>
  <c r="W366" i="18"/>
  <c r="R293" i="18"/>
  <c r="W365" i="18"/>
  <c r="W364" i="18"/>
  <c r="W363" i="18" l="1"/>
  <c r="W362" i="18" l="1"/>
  <c r="I113" i="63" l="1"/>
  <c r="W361" i="18" l="1"/>
  <c r="V472" i="18"/>
  <c r="S234" i="18" l="1"/>
  <c r="G111" i="63" l="1"/>
  <c r="I92" i="63" l="1"/>
  <c r="W360" i="18" l="1"/>
  <c r="AL249" i="18"/>
  <c r="AL248" i="18" s="1"/>
  <c r="AL247" i="18" s="1"/>
  <c r="AM248" i="18" l="1"/>
  <c r="AM249" i="18"/>
  <c r="P27" i="18"/>
  <c r="N27" i="18" s="1"/>
  <c r="AL246" i="18" l="1"/>
  <c r="AM247" i="18"/>
  <c r="AL245" i="18" l="1"/>
  <c r="AM246" i="18"/>
  <c r="AL244" i="18" l="1"/>
  <c r="AM245" i="18"/>
  <c r="AL243" i="18" l="1"/>
  <c r="AM244" i="18"/>
  <c r="G92" i="63"/>
  <c r="Q390" i="52"/>
  <c r="O390" i="52"/>
  <c r="J390" i="52"/>
  <c r="W359" i="18"/>
  <c r="L92" i="63" l="1"/>
  <c r="AL242" i="18"/>
  <c r="AM243" i="18"/>
  <c r="W358" i="18"/>
  <c r="W357" i="18"/>
  <c r="AJ250" i="18"/>
  <c r="AL241" i="18" l="1"/>
  <c r="AM242" i="18"/>
  <c r="AL240" i="18" l="1"/>
  <c r="AM241" i="18"/>
  <c r="W356" i="18"/>
  <c r="AL239" i="18" l="1"/>
  <c r="AM240" i="18"/>
  <c r="W355"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54" i="18"/>
  <c r="W353" i="18"/>
  <c r="W352" i="18"/>
  <c r="W351" i="18"/>
  <c r="W350" i="18"/>
  <c r="W349"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3" i="18"/>
  <c r="W344" i="18"/>
  <c r="W345" i="18"/>
  <c r="W346" i="18"/>
  <c r="W347" i="18"/>
  <c r="W348" i="18"/>
  <c r="AL230" i="18" l="1"/>
  <c r="AM231" i="18"/>
  <c r="W342" i="18"/>
  <c r="AL229" i="18" l="1"/>
  <c r="AM230" i="18"/>
  <c r="W341" i="18"/>
  <c r="AL228" i="18" l="1"/>
  <c r="AM229" i="18"/>
  <c r="W34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9" i="18"/>
  <c r="P374" i="52" l="1"/>
  <c r="AL227" i="18"/>
  <c r="AM228" i="18"/>
  <c r="P375" i="52"/>
  <c r="P376" i="52"/>
  <c r="P368" i="52"/>
  <c r="P373" i="52"/>
  <c r="P372" i="52"/>
  <c r="P371" i="52"/>
  <c r="P370" i="52"/>
  <c r="P369" i="52"/>
  <c r="W338" i="18"/>
  <c r="AL226" i="18" l="1"/>
  <c r="AM227" i="18"/>
  <c r="AL225" i="18" l="1"/>
  <c r="AM226" i="18"/>
  <c r="W337" i="18"/>
  <c r="AL224" i="18" l="1"/>
  <c r="AM225" i="18"/>
  <c r="AL223" i="18" l="1"/>
  <c r="AM224" i="18"/>
  <c r="W336"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5" i="18"/>
  <c r="AL217" i="18" l="1"/>
  <c r="AM218" i="18"/>
  <c r="AL433" i="18"/>
  <c r="AM434" i="18"/>
  <c r="W334" i="18"/>
  <c r="AL216" i="18" l="1"/>
  <c r="AM217" i="18"/>
  <c r="AM433" i="18"/>
  <c r="AL432" i="18"/>
  <c r="W333" i="18"/>
  <c r="AL215" i="18" l="1"/>
  <c r="AM216" i="18"/>
  <c r="AL431" i="18"/>
  <c r="AM432" i="18"/>
  <c r="M184" i="18"/>
  <c r="L184" i="18"/>
  <c r="W332" i="18"/>
  <c r="AL214" i="18" l="1"/>
  <c r="AM214" i="18" s="1"/>
  <c r="AM215" i="18"/>
  <c r="AM431" i="18"/>
  <c r="AL430" i="18"/>
  <c r="W331" i="18"/>
  <c r="AL429" i="18" l="1"/>
  <c r="AM430" i="18"/>
  <c r="W330" i="18"/>
  <c r="AM429" i="18" l="1"/>
  <c r="AL428" i="18"/>
  <c r="AL427" i="18" l="1"/>
  <c r="AM428" i="18"/>
  <c r="M183" i="18"/>
  <c r="L183" i="18"/>
  <c r="AM427" i="18" l="1"/>
  <c r="AL426" i="18"/>
  <c r="M182" i="18"/>
  <c r="L182" i="18"/>
  <c r="G99" i="63" l="1"/>
  <c r="AL425" i="18"/>
  <c r="AM426" i="18"/>
  <c r="L179" i="18"/>
  <c r="M179" i="18"/>
  <c r="L180" i="18"/>
  <c r="M180" i="18"/>
  <c r="L181" i="18"/>
  <c r="M181" i="18"/>
  <c r="L188" i="18"/>
  <c r="M188" i="18"/>
  <c r="AM425" i="18" l="1"/>
  <c r="AL424" i="18"/>
  <c r="O348" i="52"/>
  <c r="G142" i="18"/>
  <c r="J142" i="18" s="1"/>
  <c r="W329" i="18"/>
  <c r="AL423" i="18" l="1"/>
  <c r="AM424" i="18"/>
  <c r="G102" i="18"/>
  <c r="G101" i="18"/>
  <c r="J127" i="18"/>
  <c r="G126" i="18"/>
  <c r="J126" i="18" s="1"/>
  <c r="W328" i="18"/>
  <c r="J347" i="52"/>
  <c r="AM423" i="18" l="1"/>
  <c r="AL422" i="18"/>
  <c r="I129" i="18"/>
  <c r="L178" i="18"/>
  <c r="M178" i="18"/>
  <c r="M177" i="18"/>
  <c r="L177" i="18"/>
  <c r="W327" i="18"/>
  <c r="AM422" i="18" l="1"/>
  <c r="AL421" i="18"/>
  <c r="W326" i="18"/>
  <c r="I108" i="63" l="1"/>
  <c r="G108" i="63"/>
  <c r="AM421" i="18"/>
  <c r="AL420" i="18"/>
  <c r="H108" i="63"/>
  <c r="K108" i="63" s="1"/>
  <c r="L108" i="63" l="1"/>
  <c r="AL419" i="18"/>
  <c r="AM420" i="18"/>
  <c r="AL418" i="18" l="1"/>
  <c r="AM419" i="18"/>
  <c r="W325" i="18" l="1"/>
  <c r="W324" i="18" l="1"/>
  <c r="W323" i="18" l="1"/>
  <c r="W322" i="18" l="1"/>
  <c r="N348" i="52"/>
  <c r="W321"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1" i="18" l="1"/>
  <c r="G150" i="18" l="1"/>
  <c r="J150" i="18" s="1"/>
  <c r="W32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9" i="18"/>
  <c r="D418" i="15" l="1"/>
  <c r="F419" i="15"/>
  <c r="F418" i="15" l="1"/>
  <c r="D417" i="15"/>
  <c r="I77" i="63"/>
  <c r="W318" i="18"/>
  <c r="O305" i="52"/>
  <c r="J305" i="52"/>
  <c r="D416" i="15" l="1"/>
  <c r="F417" i="15"/>
  <c r="D415" i="15" l="1"/>
  <c r="F416" i="15"/>
  <c r="W317" i="18"/>
  <c r="W316" i="18"/>
  <c r="O302" i="52"/>
  <c r="F415" i="15" l="1"/>
  <c r="D414" i="15"/>
  <c r="G149" i="18"/>
  <c r="D413" i="15" l="1"/>
  <c r="F414" i="15"/>
  <c r="D412" i="15" l="1"/>
  <c r="F413" i="15"/>
  <c r="W315" i="18"/>
  <c r="O301" i="52"/>
  <c r="J149" i="18"/>
  <c r="J152" i="18" l="1"/>
  <c r="L43" i="18" s="1"/>
  <c r="F412" i="15"/>
  <c r="D411" i="15"/>
  <c r="I152" i="18" l="1"/>
  <c r="D410" i="15"/>
  <c r="F411" i="15"/>
  <c r="W314" i="18"/>
  <c r="W313" i="18"/>
  <c r="J300" i="52"/>
  <c r="F410" i="15" l="1"/>
  <c r="D409" i="15"/>
  <c r="W312" i="18"/>
  <c r="O299" i="52"/>
  <c r="W311" i="18"/>
  <c r="W31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9" i="18"/>
  <c r="W308" i="18"/>
  <c r="W307" i="18"/>
  <c r="P26" i="18"/>
  <c r="N26" i="18" s="1"/>
  <c r="O298" i="52"/>
  <c r="D407" i="15" l="1"/>
  <c r="F408" i="15"/>
  <c r="J298" i="52"/>
  <c r="F407" i="15" l="1"/>
  <c r="D406" i="15"/>
  <c r="O297" i="52"/>
  <c r="W306" i="18"/>
  <c r="W305" i="18"/>
  <c r="W304" i="18"/>
  <c r="T474" i="18" l="1"/>
  <c r="T476" i="18" s="1"/>
  <c r="D405" i="15"/>
  <c r="F406" i="15"/>
  <c r="W303" i="18"/>
  <c r="J296" i="52"/>
  <c r="D404" i="15" l="1"/>
  <c r="F405" i="15"/>
  <c r="J295" i="52"/>
  <c r="F404" i="15" l="1"/>
  <c r="D403" i="15"/>
  <c r="W302"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0"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8" i="18"/>
  <c r="D388" i="15" l="1"/>
  <c r="F389" i="15"/>
  <c r="J275" i="52"/>
  <c r="F388" i="15" l="1"/>
  <c r="D387" i="15"/>
  <c r="W297" i="18"/>
  <c r="D386" i="15" l="1"/>
  <c r="F387" i="15"/>
  <c r="J274" i="52"/>
  <c r="F386" i="15" l="1"/>
  <c r="D385" i="15"/>
  <c r="W296" i="18"/>
  <c r="D384" i="15" l="1"/>
  <c r="F385" i="15"/>
  <c r="J271" i="52"/>
  <c r="D383" i="15" l="1"/>
  <c r="F384" i="15"/>
  <c r="J161" i="18"/>
  <c r="W295" i="18"/>
  <c r="N42" i="18"/>
  <c r="F383" i="15" l="1"/>
  <c r="D382" i="15"/>
  <c r="O269" i="52"/>
  <c r="F382" i="15" l="1"/>
  <c r="D381" i="15"/>
  <c r="J268" i="52"/>
  <c r="N268" i="52"/>
  <c r="W29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3" i="18"/>
  <c r="W29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0" i="18"/>
  <c r="W289" i="18"/>
  <c r="W288" i="18"/>
  <c r="D364" i="15" l="1"/>
  <c r="F365" i="15"/>
  <c r="O223" i="52"/>
  <c r="W287" i="18"/>
  <c r="F364" i="15" l="1"/>
  <c r="D363" i="15"/>
  <c r="J222" i="52"/>
  <c r="W286" i="18"/>
  <c r="D362" i="15" l="1"/>
  <c r="F363" i="15"/>
  <c r="W285" i="18"/>
  <c r="W284" i="18"/>
  <c r="D361" i="15" l="1"/>
  <c r="F362" i="15"/>
  <c r="O220" i="52"/>
  <c r="F361" i="15" l="1"/>
  <c r="D360" i="15"/>
  <c r="W283" i="18"/>
  <c r="W28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80" i="18"/>
  <c r="J158" i="18" l="1"/>
  <c r="I162" i="18" s="1"/>
  <c r="F348" i="15"/>
  <c r="D347" i="15"/>
  <c r="O210" i="52"/>
  <c r="W279" i="18"/>
  <c r="D346" i="15" l="1"/>
  <c r="F347" i="15"/>
  <c r="J210" i="52"/>
  <c r="D345" i="15" l="1"/>
  <c r="F346" i="15"/>
  <c r="J209" i="52"/>
  <c r="O208" i="52"/>
  <c r="J208" i="52"/>
  <c r="D344" i="15" l="1"/>
  <c r="F345" i="15"/>
  <c r="W278" i="18"/>
  <c r="F344" i="15" l="1"/>
  <c r="D343" i="15"/>
  <c r="O207" i="52"/>
  <c r="J207" i="52"/>
  <c r="W277" i="18"/>
  <c r="D342" i="15" l="1"/>
  <c r="F343" i="15"/>
  <c r="W276" i="18"/>
  <c r="D341" i="15" l="1"/>
  <c r="F342" i="15"/>
  <c r="W275" i="18"/>
  <c r="D340" i="15" l="1"/>
  <c r="F341" i="15"/>
  <c r="O204" i="52"/>
  <c r="F340" i="15" l="1"/>
  <c r="D339" i="15"/>
  <c r="J203" i="52"/>
  <c r="W27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73" i="18"/>
  <c r="W272" i="18"/>
  <c r="W271" i="18"/>
  <c r="J202" i="52"/>
  <c r="D336" i="15" l="1"/>
  <c r="F337" i="15"/>
  <c r="W270" i="18"/>
  <c r="J201" i="52"/>
  <c r="W269" i="18"/>
  <c r="F336" i="15" l="1"/>
  <c r="D335" i="15"/>
  <c r="J200" i="52"/>
  <c r="D334" i="15" l="1"/>
  <c r="F335" i="15"/>
  <c r="W268" i="18"/>
  <c r="W267" i="18"/>
  <c r="F334" i="15" l="1"/>
  <c r="D333" i="15"/>
  <c r="W266"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5" i="18"/>
  <c r="F330" i="15" l="1"/>
  <c r="D329" i="15"/>
  <c r="D328" i="15" l="1"/>
  <c r="F329" i="15"/>
  <c r="W264" i="18"/>
  <c r="D327" i="15" l="1"/>
  <c r="F328" i="15"/>
  <c r="W263" i="18"/>
  <c r="AL213" i="18" l="1"/>
  <c r="F327" i="15"/>
  <c r="D326" i="15"/>
  <c r="AL212" i="18" l="1"/>
  <c r="AM213" i="18"/>
  <c r="F326" i="15"/>
  <c r="D325" i="15"/>
  <c r="J195" i="52"/>
  <c r="O195" i="52"/>
  <c r="J194" i="52"/>
  <c r="W262" i="18"/>
  <c r="AL211" i="18" l="1"/>
  <c r="AM212" i="18"/>
  <c r="F325" i="15"/>
  <c r="D324" i="15"/>
  <c r="N194" i="52"/>
  <c r="W261" i="18"/>
  <c r="W260" i="18"/>
  <c r="AL210" i="18" l="1"/>
  <c r="AM211" i="18"/>
  <c r="F324" i="15"/>
  <c r="D323" i="15"/>
  <c r="W259" i="18"/>
  <c r="AM210" i="18" l="1"/>
  <c r="AL209" i="18"/>
  <c r="F323" i="15"/>
  <c r="D322" i="15"/>
  <c r="R134" i="18"/>
  <c r="S134" i="18" s="1"/>
  <c r="AL208" i="18" l="1"/>
  <c r="AM209" i="18"/>
  <c r="F322" i="15"/>
  <c r="D321" i="15"/>
  <c r="W258" i="18"/>
  <c r="AM208" i="18" l="1"/>
  <c r="AL207" i="18"/>
  <c r="F321" i="15"/>
  <c r="D320" i="15"/>
  <c r="W257" i="18"/>
  <c r="O190" i="52"/>
  <c r="J190" i="52"/>
  <c r="AL206" i="18" l="1"/>
  <c r="AM207" i="18"/>
  <c r="F320" i="15"/>
  <c r="D319" i="15"/>
  <c r="W256" i="18"/>
  <c r="AM206" i="18" l="1"/>
  <c r="AL205" i="18"/>
  <c r="F319" i="15"/>
  <c r="D318" i="15"/>
  <c r="N48" i="18"/>
  <c r="N46" i="18"/>
  <c r="AM205" i="18" l="1"/>
  <c r="AL204" i="18"/>
  <c r="F318" i="15"/>
  <c r="D317" i="15"/>
  <c r="O187" i="52"/>
  <c r="W255" i="18"/>
  <c r="AM204" i="18" l="1"/>
  <c r="AL203" i="18"/>
  <c r="F317" i="15"/>
  <c r="D316" i="15"/>
  <c r="J186" i="52"/>
  <c r="W254" i="18"/>
  <c r="W242" i="18"/>
  <c r="W241" i="18"/>
  <c r="AM203" i="18" l="1"/>
  <c r="AL202" i="18"/>
  <c r="F316" i="15"/>
  <c r="D315" i="15"/>
  <c r="J185" i="52"/>
  <c r="W253" i="18"/>
  <c r="AM202" i="18" l="1"/>
  <c r="AL201" i="18"/>
  <c r="F315" i="15"/>
  <c r="D314" i="15"/>
  <c r="AL200" i="18" l="1"/>
  <c r="AM201" i="18"/>
  <c r="F314" i="15"/>
  <c r="D313" i="15"/>
  <c r="AL199" i="18" l="1"/>
  <c r="AM200" i="18"/>
  <c r="F313" i="15"/>
  <c r="D312" i="15"/>
  <c r="N181" i="52"/>
  <c r="AL198" i="18" l="1"/>
  <c r="AM199" i="18"/>
  <c r="F312" i="15"/>
  <c r="D311" i="15"/>
  <c r="W252" i="18"/>
  <c r="B8" i="36"/>
  <c r="AL197" i="18" l="1"/>
  <c r="AM198" i="18"/>
  <c r="F311" i="15"/>
  <c r="D310" i="15"/>
  <c r="O178" i="52"/>
  <c r="J178" i="52"/>
  <c r="AM197" i="18" l="1"/>
  <c r="AL196" i="18"/>
  <c r="F310" i="15"/>
  <c r="D309" i="15"/>
  <c r="N44" i="18"/>
  <c r="G167" i="18" s="1"/>
  <c r="W251" i="18"/>
  <c r="O177" i="52"/>
  <c r="J177" i="52"/>
  <c r="M101" i="18" l="1"/>
  <c r="G168" i="18"/>
  <c r="AM196" i="18"/>
  <c r="AL195" i="18"/>
  <c r="F309" i="15"/>
  <c r="D308" i="15"/>
  <c r="O176" i="52"/>
  <c r="J176" i="52"/>
  <c r="AM195" i="18" l="1"/>
  <c r="AL194" i="18"/>
  <c r="F308" i="15"/>
  <c r="D307" i="15"/>
  <c r="F307" i="15" s="1"/>
  <c r="AM194" i="18" l="1"/>
  <c r="AL193" i="18"/>
  <c r="J174" i="52"/>
  <c r="W250" i="18"/>
  <c r="AM193" i="18" l="1"/>
  <c r="AL192" i="18"/>
  <c r="J168" i="52"/>
  <c r="O168" i="52"/>
  <c r="W249" i="18"/>
  <c r="AM192" i="18" l="1"/>
  <c r="AL191" i="18"/>
  <c r="AM191" i="18" s="1"/>
  <c r="O167" i="52"/>
  <c r="W248" i="18"/>
  <c r="O166" i="52" l="1"/>
  <c r="W247" i="18"/>
  <c r="W246" i="18" l="1"/>
  <c r="O165" i="52"/>
  <c r="J165" i="52"/>
  <c r="C7" i="60" l="1"/>
  <c r="D3" i="60"/>
  <c r="D4" i="60"/>
  <c r="D5" i="60"/>
  <c r="D2" i="60"/>
  <c r="F2" i="60"/>
  <c r="AL417" i="18" l="1"/>
  <c r="AM418" i="18"/>
  <c r="O162" i="52"/>
  <c r="J162" i="52"/>
  <c r="W245"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4" i="18"/>
  <c r="AL413" i="18" l="1"/>
  <c r="AM414" i="18"/>
  <c r="W243" i="18"/>
  <c r="AM413" i="18" l="1"/>
  <c r="AL412" i="18"/>
  <c r="AL190" i="18"/>
  <c r="AL411" i="18" l="1"/>
  <c r="AM412" i="18"/>
  <c r="AL189" i="18"/>
  <c r="AM190" i="18"/>
  <c r="N159" i="52"/>
  <c r="P160" i="52" s="1"/>
  <c r="W240"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9" i="18"/>
  <c r="W238" i="18"/>
  <c r="O150" i="52"/>
  <c r="AL406" i="18" l="1"/>
  <c r="AM407" i="18"/>
  <c r="AM185" i="18"/>
  <c r="AL184" i="18"/>
  <c r="AL405" i="18" l="1"/>
  <c r="AM406" i="18"/>
  <c r="AL183" i="18"/>
  <c r="AM184" i="18"/>
  <c r="Q146" i="52"/>
  <c r="J146" i="52"/>
  <c r="W23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6" i="18"/>
  <c r="AM403" i="18" l="1"/>
  <c r="AL402" i="18"/>
  <c r="AM181" i="18"/>
  <c r="AL180" i="18"/>
  <c r="G141" i="18"/>
  <c r="J141" i="18" s="1"/>
  <c r="J143" i="18" s="1"/>
  <c r="I143" i="18" s="1"/>
  <c r="W235" i="18"/>
  <c r="AL401" i="18" l="1"/>
  <c r="AM402" i="18"/>
  <c r="AM180" i="18"/>
  <c r="AL179" i="18"/>
  <c r="O142" i="52"/>
  <c r="J142" i="52"/>
  <c r="W234" i="18"/>
  <c r="AL400" i="18" l="1"/>
  <c r="AM401" i="18"/>
  <c r="AM179" i="18"/>
  <c r="AL178" i="18"/>
  <c r="AM178" i="18" s="1"/>
  <c r="O140" i="52"/>
  <c r="J140" i="52"/>
  <c r="W233" i="18"/>
  <c r="AM400" i="18" l="1"/>
  <c r="AL399" i="18"/>
  <c r="W232" i="18"/>
  <c r="W231" i="18"/>
  <c r="O139" i="52"/>
  <c r="J139" i="52"/>
  <c r="AM399" i="18" l="1"/>
  <c r="AL398" i="18"/>
  <c r="W230" i="18"/>
  <c r="AM398" i="18" l="1"/>
  <c r="AL397" i="18"/>
  <c r="AM397" i="18" l="1"/>
  <c r="AL396" i="18"/>
  <c r="M41" i="52"/>
  <c r="AM396" i="18" l="1"/>
  <c r="AL395" i="18"/>
  <c r="O135" i="52"/>
  <c r="J135" i="52"/>
  <c r="AM395" i="18" l="1"/>
  <c r="AL394" i="18"/>
  <c r="AL393" i="18" l="1"/>
  <c r="AM394" i="18"/>
  <c r="W229" i="18"/>
  <c r="AL392" i="18" l="1"/>
  <c r="AM393" i="18"/>
  <c r="O132" i="52"/>
  <c r="W228" i="18"/>
  <c r="AM392" i="18" l="1"/>
  <c r="AL391" i="18"/>
  <c r="O131" i="52"/>
  <c r="J3" i="60"/>
  <c r="J4" i="60"/>
  <c r="J5" i="60"/>
  <c r="J2" i="60"/>
  <c r="I9" i="60"/>
  <c r="I7" i="60"/>
  <c r="AL390" i="18" l="1"/>
  <c r="AM391" i="18"/>
  <c r="O130" i="52"/>
  <c r="O129" i="52"/>
  <c r="W227" i="18"/>
  <c r="W226" i="18"/>
  <c r="AL389" i="18" l="1"/>
  <c r="AM390" i="18"/>
  <c r="N129" i="52"/>
  <c r="AL388" i="18" l="1"/>
  <c r="AM389" i="18"/>
  <c r="O127" i="52"/>
  <c r="AL387" i="18" l="1"/>
  <c r="AM388" i="18"/>
  <c r="J126" i="52"/>
  <c r="O126" i="52"/>
  <c r="W225" i="18"/>
  <c r="AM387" i="18" l="1"/>
  <c r="AL386" i="18"/>
  <c r="O125" i="52"/>
  <c r="J125" i="52"/>
  <c r="AM386" i="18" l="1"/>
  <c r="AL385" i="18"/>
  <c r="W224"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3"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2" i="18"/>
  <c r="AM382" i="18" l="1"/>
  <c r="AL381" i="18"/>
  <c r="AM381" i="18" l="1"/>
  <c r="AL380" i="18"/>
  <c r="O121" i="52"/>
  <c r="J121" i="52"/>
  <c r="W221" i="18"/>
  <c r="AL379" i="18" l="1"/>
  <c r="AM380" i="18"/>
  <c r="W220" i="18"/>
  <c r="J120" i="52"/>
  <c r="AM379" i="18" l="1"/>
  <c r="AL378" i="18"/>
  <c r="AL377" i="18" l="1"/>
  <c r="AM378" i="18"/>
  <c r="O117" i="52"/>
  <c r="AM377" i="18" l="1"/>
  <c r="AL376" i="18"/>
  <c r="O116" i="52"/>
  <c r="N116" i="52"/>
  <c r="AM376" i="18" l="1"/>
  <c r="AL375" i="18"/>
  <c r="W219"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8" i="18"/>
  <c r="J108" i="52"/>
  <c r="AM367" i="18" l="1"/>
  <c r="AL366" i="18"/>
  <c r="D303" i="15"/>
  <c r="F303" i="15" s="1"/>
  <c r="W217" i="18"/>
  <c r="W216"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5" i="18"/>
  <c r="AL362" i="18" l="1"/>
  <c r="AM363" i="18"/>
  <c r="D299" i="15"/>
  <c r="F299" i="15" s="1"/>
  <c r="E7" i="60"/>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4"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3"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9" i="18"/>
  <c r="W212" i="18"/>
  <c r="W211" i="18"/>
  <c r="W210" i="18"/>
  <c r="M48" i="52"/>
  <c r="M47" i="52"/>
  <c r="N38" i="52"/>
  <c r="N37" i="52"/>
  <c r="M49" i="52"/>
  <c r="N50" i="52" s="1"/>
  <c r="AL350" i="18" l="1"/>
  <c r="AM351" i="18"/>
  <c r="D287" i="15"/>
  <c r="F287" i="15" s="1"/>
  <c r="N49" i="52"/>
  <c r="W209" i="18"/>
  <c r="AM350" i="18" l="1"/>
  <c r="AL349" i="18"/>
  <c r="D286" i="15"/>
  <c r="F286" i="15" s="1"/>
  <c r="AL348" i="18" l="1"/>
  <c r="AM349" i="18"/>
  <c r="D285" i="15"/>
  <c r="F285" i="15" s="1"/>
  <c r="W208"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7" i="18"/>
  <c r="AM346" i="18" l="1"/>
  <c r="AL345" i="18"/>
  <c r="D282" i="15"/>
  <c r="F282" i="15" s="1"/>
  <c r="G32" i="57"/>
  <c r="H32" i="57"/>
  <c r="D32" i="57"/>
  <c r="I32" i="57" s="1"/>
  <c r="D345" i="20"/>
  <c r="W206" i="18"/>
  <c r="W205"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4" i="18"/>
  <c r="D343" i="20"/>
  <c r="AL341" i="18" l="1"/>
  <c r="AM342" i="18"/>
  <c r="D278" i="15"/>
  <c r="F278" i="15" s="1"/>
  <c r="W203" i="18"/>
  <c r="D342" i="20"/>
  <c r="J83" i="52"/>
  <c r="O83" i="52"/>
  <c r="W202" i="18"/>
  <c r="W201" i="18"/>
  <c r="F44" i="14"/>
  <c r="F45" i="14"/>
  <c r="F46" i="14"/>
  <c r="F47" i="14"/>
  <c r="F48" i="14"/>
  <c r="F49" i="14"/>
  <c r="F50" i="14"/>
  <c r="D341" i="20"/>
  <c r="AL340" i="18" l="1"/>
  <c r="AM341" i="18"/>
  <c r="D277" i="15"/>
  <c r="F277" i="15" s="1"/>
  <c r="AJ449" i="18"/>
  <c r="AM340" i="18" l="1"/>
  <c r="AL339" i="18"/>
  <c r="D276" i="15"/>
  <c r="F276" i="15" s="1"/>
  <c r="W200" i="18"/>
  <c r="AL338" i="18" l="1"/>
  <c r="AM339" i="18"/>
  <c r="D340" i="20"/>
  <c r="W199" i="18"/>
  <c r="H337" i="20"/>
  <c r="H338" i="20"/>
  <c r="H339" i="20"/>
  <c r="H340" i="20"/>
  <c r="H341" i="20"/>
  <c r="H368" i="20"/>
  <c r="H369" i="20"/>
  <c r="D339" i="20"/>
  <c r="AL337" i="18" l="1"/>
  <c r="AM338" i="18"/>
  <c r="B371" i="20"/>
  <c r="D332" i="20"/>
  <c r="D333" i="20"/>
  <c r="D334" i="20"/>
  <c r="D335" i="20"/>
  <c r="D336" i="20"/>
  <c r="D337" i="20"/>
  <c r="D338" i="20"/>
  <c r="D369" i="20"/>
  <c r="AL336" i="18" l="1"/>
  <c r="AM337" i="18"/>
  <c r="W198" i="18"/>
  <c r="D80" i="57"/>
  <c r="AL335" i="18" l="1"/>
  <c r="AM336" i="18"/>
  <c r="G46" i="10"/>
  <c r="AL334" i="18" l="1"/>
  <c r="AM335" i="18"/>
  <c r="D331" i="20"/>
  <c r="AL333" i="18" l="1"/>
  <c r="AM334" i="18"/>
  <c r="D330" i="20"/>
  <c r="AL332" i="18" l="1"/>
  <c r="AM333" i="18"/>
  <c r="W197" i="18"/>
  <c r="W196"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5" i="18"/>
  <c r="W194" i="18"/>
  <c r="AL320" i="18" l="1"/>
  <c r="AM321" i="18"/>
  <c r="R15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3" i="18"/>
  <c r="W192" i="18"/>
  <c r="L33" i="18"/>
  <c r="N36" i="52"/>
  <c r="N35" i="52"/>
  <c r="Q42" i="52"/>
  <c r="AL318" i="18" l="1"/>
  <c r="AM319" i="18"/>
  <c r="W191" i="18"/>
  <c r="W190"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9" i="18"/>
  <c r="W188" i="18"/>
  <c r="N32" i="52"/>
  <c r="N31" i="52"/>
  <c r="AL313" i="18" l="1"/>
  <c r="AM313" i="18" s="1"/>
  <c r="AM314" i="18"/>
  <c r="W187" i="18"/>
  <c r="W186" i="18"/>
  <c r="N30" i="52"/>
  <c r="N29" i="52"/>
  <c r="W185" i="18" l="1"/>
  <c r="W184" i="18"/>
  <c r="N28" i="52"/>
  <c r="N27" i="52"/>
  <c r="AL312" i="18" l="1"/>
  <c r="D313" i="20"/>
  <c r="AL311" i="18" l="1"/>
  <c r="AM312" i="18"/>
  <c r="L108" i="18"/>
  <c r="L103" i="18" l="1"/>
  <c r="N103" i="18" s="1"/>
  <c r="L105" i="18"/>
  <c r="N105" i="18" s="1"/>
  <c r="L104" i="18"/>
  <c r="N104" i="18" s="1"/>
  <c r="M108" i="18"/>
  <c r="AM311" i="18"/>
  <c r="AL310" i="18"/>
  <c r="L100" i="18"/>
  <c r="W183" i="18"/>
  <c r="W182"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1" i="18"/>
  <c r="W180" i="18"/>
  <c r="N23" i="52"/>
  <c r="N22" i="52"/>
  <c r="I368" i="20" l="1"/>
  <c r="G367" i="20"/>
  <c r="J368" i="20"/>
  <c r="K368" i="20"/>
  <c r="AL307" i="18"/>
  <c r="AM308" i="18"/>
  <c r="W179" i="18"/>
  <c r="W178"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7" i="18"/>
  <c r="W176"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5" i="18"/>
  <c r="W174" i="18"/>
  <c r="N17" i="52"/>
  <c r="N16" i="52"/>
  <c r="AL170" i="18" l="1"/>
  <c r="AM171" i="18"/>
  <c r="I356" i="20"/>
  <c r="G355" i="20"/>
  <c r="J356" i="20"/>
  <c r="K356" i="20"/>
  <c r="L101" i="18"/>
  <c r="AL169" i="18" l="1"/>
  <c r="AL168" i="18" s="1"/>
  <c r="AM170" i="18"/>
  <c r="J355" i="20"/>
  <c r="I355" i="20"/>
  <c r="G354" i="20"/>
  <c r="K355" i="20"/>
  <c r="W173" i="18"/>
  <c r="W172" i="18"/>
  <c r="D303" i="20"/>
  <c r="D302" i="20"/>
  <c r="W171"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9" i="18"/>
  <c r="AL163" i="18" l="1"/>
  <c r="AM164" i="18"/>
  <c r="I350" i="20"/>
  <c r="J350" i="20"/>
  <c r="K350" i="20"/>
  <c r="G349" i="20"/>
  <c r="D296" i="20"/>
  <c r="D295" i="20"/>
  <c r="AM163" i="18" l="1"/>
  <c r="AL162" i="18"/>
  <c r="K349" i="20"/>
  <c r="I349" i="20"/>
  <c r="J349" i="20"/>
  <c r="G348" i="20"/>
  <c r="W168" i="18"/>
  <c r="W167"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6" i="18"/>
  <c r="W165" i="18"/>
  <c r="AM161" i="18" l="1"/>
  <c r="AL160" i="18"/>
  <c r="G346" i="20"/>
  <c r="J347" i="20"/>
  <c r="I347" i="20"/>
  <c r="K347" i="20"/>
  <c r="D293" i="20"/>
  <c r="AL159" i="18" l="1"/>
  <c r="AM160" i="18"/>
  <c r="K346" i="20"/>
  <c r="G345" i="20"/>
  <c r="J346" i="20"/>
  <c r="I346" i="20"/>
  <c r="W164" i="18"/>
  <c r="AM159" i="18" l="1"/>
  <c r="AL158" i="18"/>
  <c r="K345" i="20"/>
  <c r="G344" i="20"/>
  <c r="J345" i="20"/>
  <c r="I345" i="20"/>
  <c r="D292" i="20"/>
  <c r="C8" i="36"/>
  <c r="W16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9" i="18"/>
  <c r="AM124" i="18" l="1"/>
  <c r="AL123" i="18"/>
  <c r="AM123" i="18" l="1"/>
  <c r="AL122" i="18"/>
  <c r="AL121" i="18" l="1"/>
  <c r="AM122" i="18"/>
  <c r="W153" i="18"/>
  <c r="W154" i="18"/>
  <c r="W155" i="18"/>
  <c r="W156" i="18"/>
  <c r="W157" i="18"/>
  <c r="W158" i="18"/>
  <c r="W170" i="18"/>
  <c r="W152" i="18"/>
  <c r="AM121" i="18" l="1"/>
  <c r="AL120" i="18"/>
  <c r="N47" i="18"/>
  <c r="AM120" i="18" l="1"/>
  <c r="AL119" i="18"/>
  <c r="AM119" i="18" l="1"/>
  <c r="AL118" i="18"/>
  <c r="S70" i="18"/>
  <c r="S71" i="18" s="1"/>
  <c r="S72" i="18" s="1"/>
  <c r="R158" i="18"/>
  <c r="R156" i="18"/>
  <c r="D57" i="51"/>
  <c r="AL117" i="18" l="1"/>
  <c r="AM118" i="18"/>
  <c r="S73" i="18"/>
  <c r="S74" i="18" s="1"/>
  <c r="AM117" i="18" l="1"/>
  <c r="AL116" i="18"/>
  <c r="S75" i="18"/>
  <c r="S76" i="18" s="1"/>
  <c r="N28" i="18"/>
  <c r="Q87" i="18" l="1"/>
  <c r="R15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9"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54"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53" i="18"/>
  <c r="R169" i="18" s="1"/>
  <c r="AJ256" i="18"/>
  <c r="AJ257" i="18" s="1"/>
  <c r="G305" i="20"/>
  <c r="I306" i="20"/>
  <c r="K306" i="20"/>
  <c r="J306" i="20"/>
  <c r="AL74" i="18"/>
  <c r="AM75" i="18"/>
  <c r="T456" i="18" l="1"/>
  <c r="V459" i="18" s="1"/>
  <c r="U469" i="18"/>
  <c r="V469" i="18" s="1"/>
  <c r="G304" i="20"/>
  <c r="I305" i="20"/>
  <c r="K305" i="20"/>
  <c r="J305" i="20"/>
  <c r="AL73" i="18"/>
  <c r="AM74" i="18"/>
  <c r="R91" i="18"/>
  <c r="V62" i="18" l="1"/>
  <c r="X62" i="18" s="1"/>
  <c r="V61" i="18"/>
  <c r="W61" i="18" s="1"/>
  <c r="V85" i="18"/>
  <c r="V84" i="18"/>
  <c r="V83" i="18"/>
  <c r="X61" i="18"/>
  <c r="V60" i="18"/>
  <c r="X60" i="18" s="1"/>
  <c r="V82" i="18"/>
  <c r="V59" i="18"/>
  <c r="W59" i="18" s="1"/>
  <c r="V81" i="18"/>
  <c r="V80" i="18"/>
  <c r="W80" i="18" s="1"/>
  <c r="V58" i="18"/>
  <c r="V64" i="18"/>
  <c r="V63" i="18"/>
  <c r="V47" i="18"/>
  <c r="V48" i="18"/>
  <c r="V51" i="18"/>
  <c r="V52" i="18"/>
  <c r="V55" i="18"/>
  <c r="V57" i="18"/>
  <c r="V49" i="18"/>
  <c r="V50" i="18"/>
  <c r="V53" i="18"/>
  <c r="V54" i="18"/>
  <c r="V56" i="18"/>
  <c r="V127" i="18"/>
  <c r="V128" i="18"/>
  <c r="V46" i="18"/>
  <c r="V44" i="18"/>
  <c r="V45" i="18"/>
  <c r="V43" i="18"/>
  <c r="V42" i="18"/>
  <c r="V41" i="18"/>
  <c r="V37" i="18"/>
  <c r="V38" i="18"/>
  <c r="V39" i="18"/>
  <c r="V40" i="18"/>
  <c r="V35" i="18"/>
  <c r="V36" i="18"/>
  <c r="V34" i="18"/>
  <c r="V31" i="18"/>
  <c r="V32" i="18"/>
  <c r="V33" i="18"/>
  <c r="V79" i="18"/>
  <c r="W138" i="18"/>
  <c r="V86" i="18"/>
  <c r="W140"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W62" i="18" l="1"/>
  <c r="X80" i="18"/>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7" i="18"/>
  <c r="X127" i="18"/>
  <c r="X128" i="18"/>
  <c r="W12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9" i="18"/>
  <c r="G302" i="20"/>
  <c r="K303" i="20"/>
  <c r="I303" i="20"/>
  <c r="J303" i="20"/>
  <c r="X26" i="18"/>
  <c r="W75" i="18"/>
  <c r="X75" i="18"/>
  <c r="W25" i="18"/>
  <c r="X25" i="18"/>
  <c r="X24" i="18"/>
  <c r="W74" i="18"/>
  <c r="X74" i="18"/>
  <c r="W23" i="18"/>
  <c r="W73" i="18"/>
  <c r="X73" i="18"/>
  <c r="W72" i="18"/>
  <c r="X72" i="18"/>
  <c r="N31" i="18"/>
  <c r="W137" i="18"/>
  <c r="W146" i="18" s="1"/>
  <c r="X71" i="18"/>
  <c r="W71" i="18"/>
  <c r="W22" i="18"/>
  <c r="X22" i="18"/>
  <c r="W20" i="18"/>
  <c r="X20" i="18"/>
  <c r="W95" i="18"/>
  <c r="X95" i="18"/>
  <c r="W21" i="18"/>
  <c r="X21" i="18"/>
  <c r="AL71" i="18"/>
  <c r="AM72" i="18"/>
  <c r="G169" i="18" l="1"/>
  <c r="I169" i="18"/>
  <c r="I170" i="18"/>
  <c r="G170" i="18"/>
  <c r="N55" i="18"/>
  <c r="L21" i="18"/>
  <c r="W147"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X115" i="18"/>
  <c r="W115" i="18"/>
  <c r="W114" i="18"/>
  <c r="X114" i="18"/>
  <c r="G26" i="20"/>
  <c r="J27" i="20"/>
  <c r="K27" i="20"/>
  <c r="I27" i="20"/>
  <c r="F21" i="15"/>
  <c r="W116" i="18" l="1"/>
  <c r="V117" i="18"/>
  <c r="X117" i="18" s="1"/>
  <c r="S118" i="18"/>
  <c r="G25" i="20"/>
  <c r="J26" i="20"/>
  <c r="K26" i="20"/>
  <c r="I26" i="20"/>
  <c r="F20" i="15"/>
  <c r="W117" i="18" l="1"/>
  <c r="V118" i="18"/>
  <c r="S119" i="18"/>
  <c r="S120" i="18" s="1"/>
  <c r="G24" i="20"/>
  <c r="K25" i="20"/>
  <c r="J25" i="20"/>
  <c r="I25" i="20"/>
  <c r="F19" i="15"/>
  <c r="V120" i="18" l="1"/>
  <c r="W120" i="18" s="1"/>
  <c r="S121" i="18"/>
  <c r="V119" i="18"/>
  <c r="W119" i="18" s="1"/>
  <c r="W118" i="18"/>
  <c r="X118" i="18"/>
  <c r="G23" i="20"/>
  <c r="I24" i="20"/>
  <c r="J24" i="20"/>
  <c r="K24" i="20"/>
  <c r="F18" i="15"/>
  <c r="V121" i="18" l="1"/>
  <c r="W121" i="18" s="1"/>
  <c r="S122" i="18"/>
  <c r="S124" i="18" s="1"/>
  <c r="S125" i="18" s="1"/>
  <c r="V125" i="18" s="1"/>
  <c r="X119" i="18"/>
  <c r="X120" i="18"/>
  <c r="G22" i="20"/>
  <c r="J23" i="20"/>
  <c r="K23" i="20"/>
  <c r="I23" i="20"/>
  <c r="F17" i="15"/>
  <c r="W125" i="18" l="1"/>
  <c r="X125" i="18"/>
  <c r="V124" i="18"/>
  <c r="X121" i="18"/>
  <c r="W124" i="18"/>
  <c r="X124" i="18"/>
  <c r="S123" i="18"/>
  <c r="V123" i="18" s="1"/>
  <c r="V122" i="18"/>
  <c r="G21" i="20"/>
  <c r="J22" i="20"/>
  <c r="K22" i="20"/>
  <c r="I22" i="20"/>
  <c r="F16" i="15"/>
  <c r="W122" i="18" l="1"/>
  <c r="X122" i="18"/>
  <c r="W123" i="18"/>
  <c r="X123" i="18"/>
  <c r="G20" i="20"/>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<sst xmlns="http://schemas.openxmlformats.org/spreadsheetml/2006/main" count="14734" uniqueCount="5889">
  <si>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</si>
  <si>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</si>
  <si>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</si>
  <si>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</si>
  <si>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</si>
  <si>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</si>
  <si>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</si>
  <si>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</si>
  <si>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</si>
  <si>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</si>
  <si>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</si>
  <si>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</si>
  <si>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</si>
  <si>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</si>
  <si>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</si>
  <si>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</si>
  <si>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</si>
  <si>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</si>
  <si>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</si>
  <si>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</si>
  <si>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</si>
  <si>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</si>
  <si>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</si>
  <si>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</si>
  <si>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</si>
  <si>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</si>
  <si>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</si>
  <si>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</si>
  <si>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</si>
  <si>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</si>
  <si>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</si>
  <si>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</si>
  <si>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</si>
  <si>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</si>
  <si>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</si>
  <si>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</si>
  <si>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</si>
  <si>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</si>
  <si>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</si>
  <si>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</si>
  <si>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</si>
  <si>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</si>
  <si>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</si>
  <si>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</si>
  <si>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</si>
  <si>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</si>
  <si>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</si>
  <si>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</si>
  <si>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</si>
  <si>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</si>
  <si>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</si>
  <si>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</si>
  <si>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</si>
  <si>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</si>
  <si>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</si>
  <si>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</si>
  <si>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</si>
  <si>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</si>
  <si>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</si>
  <si>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</si>
  <si>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</si>
  <si>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</si>
  <si>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</si>
  <si>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</si>
  <si>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</si>
  <si>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</si>
  <si>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</si>
  <si>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</si>
  <si>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</si>
  <si>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</si>
  <si>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</si>
  <si>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</si>
  <si>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</si>
  <si>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</si>
  <si>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</si>
  <si>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</si>
  <si>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</si>
  <si>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</si>
  <si>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</si>
  <si>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</si>
  <si>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</si>
  <si>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</si>
  <si>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</si>
  <si>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</si>
  <si>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</si>
  <si>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</si>
  <si>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</si>
  <si>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</si>
  <si>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</si>
  <si>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</si>
  <si>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</si>
  <si>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</si>
  <si>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</si>
  <si>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</si>
  <si>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</si>
  <si>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</si>
  <si>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</si>
  <si>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</si>
  <si>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</si>
  <si>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</si>
  <si>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</si>
  <si>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</si>
  <si>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</si>
  <si>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</si>
  <si>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</si>
  <si>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</si>
  <si>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</si>
  <si>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</si>
  <si>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</si>
  <si>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</si>
  <si>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</si>
  <si>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</si>
  <si>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</si>
  <si>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</si>
  <si>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</si>
  <si>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</si>
  <si>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</si>
  <si>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</si>
  <si>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</si>
  <si>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</si>
  <si>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</si>
  <si>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</si>
  <si>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</si>
  <si>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</si>
  <si>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</si>
  <si>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</si>
  <si>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</si>
  <si>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</si>
  <si>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</si>
  <si>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</si>
  <si>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</si>
  <si>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</si>
  <si>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</si>
  <si>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</si>
  <si>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</si>
  <si>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</si>
  <si>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</si>
  <si>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</si>
  <si>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</si>
  <si>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</si>
  <si>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</si>
  <si>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</si>
  <si>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</si>
  <si>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</si>
  <si>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</si>
  <si>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</si>
  <si>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</si>
  <si>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</si>
  <si>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</si>
  <si>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</si>
  <si>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</si>
  <si>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</si>
  <si>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</si>
  <si>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</si>
  <si>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</si>
  <si>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</si>
  <si>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</si>
  <si>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</si>
  <si>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</si>
  <si>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</si>
  <si>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</si>
  <si>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</si>
  <si>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</si>
  <si>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</si>
  <si>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</si>
  <si>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</si>
  <si>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</si>
  <si>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</si>
  <si>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</si>
  <si>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</si>
  <si>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</si>
  <si>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</si>
  <si>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</si>
  <si>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</si>
  <si>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</si>
  <si>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</si>
  <si>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</si>
  <si>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</si>
  <si>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</si>
  <si>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</si>
  <si>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</si>
  <si>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</si>
  <si>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</si>
  <si>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</si>
  <si>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</si>
  <si>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</si>
  <si>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</si>
  <si>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</si>
  <si>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</si>
  <si>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</si>
  <si>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</si>
  <si>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</si>
  <si>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</si>
  <si>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</si>
  <si>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</si>
  <si>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</si>
  <si>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</si>
  <si>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</si>
  <si>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</si>
  <si>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</si>
  <si>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</si>
  <si>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</si>
  <si>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</si>
  <si>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</si>
  <si>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</si>
  <si>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</si>
  <si>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</si>
  <si>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</si>
  <si>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</si>
  <si>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</si>
  <si>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</si>
  <si>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</si>
  <si>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</si>
  <si>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</si>
  <si>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</si>
  <si>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</si>
  <si>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</si>
  <si>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</si>
  <si>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</si>
  <si>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</si>
  <si>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</si>
  <si>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</si>
  <si>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</si>
  <si>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</si>
  <si>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</si>
  <si>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</si>
  <si>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</si>
  <si>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</si>
  <si>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</si>
  <si>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</si>
  <si>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</si>
  <si>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</si>
  <si>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</si>
  <si>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</si>
  <si>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</si>
  <si>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</si>
  <si>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</si>
  <si>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</si>
  <si>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</si>
  <si>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</si>
  <si>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</si>
  <si>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</si>
  <si>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</si>
  <si>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</si>
  <si>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</si>
  <si>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</si>
  <si>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</si>
  <si>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</si>
  <si>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</si>
  <si>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</si>
  <si>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</si>
  <si>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</si>
  <si>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</si>
  <si>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</si>
  <si>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</si>
  <si>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</si>
  <si>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</si>
  <si>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</si>
  <si>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</si>
  <si>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</si>
  <si>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</si>
  <si>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</si>
  <si>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</si>
  <si>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</si>
  <si>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</si>
  <si>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</si>
  <si>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</si>
  <si>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</si>
  <si>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</si>
  <si>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</si>
  <si>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</si>
  <si>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</si>
  <si>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</si>
  <si>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</si>
  <si>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</si>
  <si>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</si>
  <si>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</si>
  <si>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</si>
  <si>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</si>
  <si>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</si>
  <si>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</si>
  <si>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</si>
  <si>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</si>
  <si>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</si>
  <si>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</si>
  <si>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</si>
  <si>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</si>
  <si>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</si>
  <si>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</si>
  <si>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</si>
  <si>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</si>
  <si>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</si>
  <si>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</si>
  <si>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</si>
  <si>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</si>
  <si>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</si>
  <si>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</si>
  <si>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</si>
  <si>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</si>
  <si>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</si>
  <si>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</si>
  <si>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</si>
  <si>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</si>
  <si>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</si>
  <si>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</si>
  <si>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</si>
  <si>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</si>
  <si>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</si>
  <si>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</si>
  <si>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</si>
  <si>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</si>
  <si>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</si>
  <si>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</si>
  <si>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</si>
  <si>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</si>
  <si>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</si>
  <si>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</si>
  <si>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</si>
  <si>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</si>
  <si>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</si>
  <si>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</si>
  <si>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</si>
  <si>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</si>
  <si>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</si>
  <si>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</si>
  <si>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</si>
  <si>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</si>
  <si>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</si>
  <si>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</si>
  <si>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</si>
  <si>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</si>
  <si>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</si>
  <si>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</si>
  <si>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</si>
  <si>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</si>
  <si>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</si>
  <si>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</si>
  <si>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</si>
  <si>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</si>
  <si>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</si>
  <si>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</si>
  <si>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</si>
  <si>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</si>
  <si>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</si>
  <si>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</si>
  <si>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</si>
  <si>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</si>
  <si>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</si>
  <si>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</si>
  <si>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</si>
  <si>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</si>
  <si>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</si>
  <si>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</si>
  <si>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</si>
  <si>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</si>
  <si>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</si>
  <si>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</si>
  <si>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</si>
  <si>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</si>
  <si>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</si>
  <si>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</si>
  <si>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</si>
  <si>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</si>
  <si>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</si>
  <si>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</si>
  <si>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</si>
  <si>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</si>
  <si>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</si>
  <si>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</si>
  <si>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</si>
  <si>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</si>
  <si>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</si>
  <si>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</si>
  <si>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</si>
  <si>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</si>
  <si>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</si>
  <si>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</si>
  <si>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</si>
  <si>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</si>
  <si>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</si>
  <si>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</si>
  <si>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</si>
  <si>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</si>
  <si>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</si>
  <si>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</si>
  <si>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</si>
  <si>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</si>
  <si>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</si>
  <si>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</si>
  <si>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</si>
  <si>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</si>
  <si>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</si>
  <si>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</si>
  <si>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</si>
  <si>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</si>
  <si>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</si>
  <si>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</si>
  <si>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</si>
  <si>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</si>
  <si>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</si>
  <si>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</si>
  <si>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</si>
  <si>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</si>
  <si>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</si>
  <si>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</si>
  <si>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</si>
  <si>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</si>
  <si>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</si>
  <si>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</si>
  <si>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</si>
  <si>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</si>
  <si>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</si>
  <si>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</si>
  <si>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</si>
  <si>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</si>
  <si>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</si>
  <si>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</si>
  <si>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</si>
  <si>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</si>
  <si>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</si>
  <si>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</si>
  <si>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</si>
  <si>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</si>
  <si>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</si>
  <si>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</si>
  <si>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</si>
  <si>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</si>
  <si>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</si>
  <si>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</si>
  <si>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</si>
  <si>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</si>
  <si>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</si>
  <si>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</si>
  <si>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</si>
  <si>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</si>
  <si>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</si>
  <si>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</si>
  <si>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</si>
  <si>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</si>
  <si>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</si>
  <si>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</si>
  <si>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</si>
  <si>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</si>
  <si>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</si>
  <si>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</si>
  <si>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</si>
  <si>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</si>
  <si>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</si>
  <si>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</si>
  <si>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</si>
  <si>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</si>
  <si>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</si>
  <si>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</si>
  <si>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</si>
  <si>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</si>
  <si>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</si>
  <si>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</si>
  <si>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</si>
  <si>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</si>
  <si>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</si>
  <si>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</si>
  <si>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</si>
  <si>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</si>
  <si>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</si>
  <si>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</si>
  <si>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</si>
  <si>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</si>
  <si>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</si>
  <si>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</si>
  <si>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</si>
  <si>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</si>
  <si>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</si>
  <si>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</si>
  <si>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</si>
  <si>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</si>
  <si>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</si>
  <si>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</si>
  <si>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</si>
  <si>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</si>
  <si>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</si>
  <si>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</si>
  <si>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</si>
  <si>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</si>
  <si>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</si>
  <si>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</si>
  <si>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</si>
  <si>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</si>
  <si>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</si>
  <si>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</si>
  <si>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</si>
  <si>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</si>
  <si>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</si>
  <si>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</si>
  <si>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</si>
  <si>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</si>
  <si>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</si>
  <si>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</si>
  <si>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</si>
  <si>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</si>
  <si>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</si>
  <si>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</si>
  <si>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</si>
  <si>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</si>
  <si>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</si>
  <si>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</si>
  <si>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</si>
  <si>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</si>
  <si>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</si>
  <si>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</si>
  <si>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</si>
  <si>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</si>
  <si>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</si>
  <si>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</si>
  <si>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</si>
  <si>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</si>
  <si>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</si>
  <si>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</si>
  <si>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</si>
  <si>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</si>
  <si>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</si>
  <si>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</si>
  <si>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</si>
  <si>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</si>
  <si>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</si>
  <si>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</si>
  <si>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</si>
  <si>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</si>
  <si>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</si>
  <si>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</si>
  <si>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</si>
  <si>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</si>
  <si>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</si>
  <si>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</si>
  <si>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</si>
  <si>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</si>
  <si>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</si>
  <si>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</si>
  <si>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</si>
  <si>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</si>
  <si>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</si>
  <si>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</si>
  <si>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</si>
  <si>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</si>
  <si>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</si>
  <si>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</si>
  <si>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</si>
  <si>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</si>
  <si>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</si>
  <si>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</si>
  <si>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</si>
  <si>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</si>
  <si>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</si>
  <si>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</si>
  <si>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</si>
  <si>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</si>
  <si>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</si>
  <si>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</si>
  <si>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</si>
  <si>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</si>
  <si>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</si>
  <si>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</si>
  <si>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</si>
  <si>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</si>
  <si>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</si>
  <si>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</si>
  <si>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</si>
  <si>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</si>
  <si>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</si>
  <si>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</si>
  <si>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</si>
  <si>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</si>
  <si>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</si>
  <si>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</si>
  <si>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</si>
  <si>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</si>
  <si>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</si>
  <si>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</si>
  <si>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</si>
  <si>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</si>
  <si>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</si>
  <si>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</si>
  <si>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</si>
  <si>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</si>
  <si>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</si>
  <si>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</si>
  <si>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</si>
  <si>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</si>
  <si>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</si>
  <si>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</si>
  <si>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</si>
  <si>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</si>
  <si>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</si>
  <si>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</si>
  <si>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</si>
  <si>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</si>
  <si>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</si>
  <si>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</si>
  <si>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</si>
  <si>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</si>
  <si>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</si>
  <si>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</si>
  <si>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</si>
  <si>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</si>
  <si>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</si>
  <si>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</si>
  <si>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</si>
  <si>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</si>
  <si>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</si>
  <si>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</si>
  <si>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</si>
  <si>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</si>
  <si>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</si>
  <si>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</si>
  <si>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</si>
  <si>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</si>
  <si>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</si>
  <si>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</si>
  <si>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</si>
  <si>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</si>
  <si>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</si>
  <si>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</si>
  <si>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</si>
  <si>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</si>
  <si>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</si>
  <si>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</si>
  <si>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</si>
  <si>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</si>
  <si>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</si>
  <si>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</si>
  <si>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</si>
  <si>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</si>
  <si>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</si>
  <si>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</si>
  <si>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</si>
  <si>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</si>
  <si>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</si>
  <si>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</si>
  <si>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</si>
  <si>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</si>
  <si>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</si>
  <si>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</si>
  <si>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</si>
  <si>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</si>
  <si>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</si>
  <si>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</si>
  <si>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</si>
  <si>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</si>
  <si>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</si>
  <si>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</si>
  <si>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</si>
  <si>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</si>
  <si>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</si>
  <si>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</si>
  <si>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</si>
  <si>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</si>
  <si>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</si>
  <si>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</si>
  <si>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</si>
  <si>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</si>
  <si>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</si>
  <si>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</si>
  <si>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</si>
  <si>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</si>
  <si>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</si>
  <si>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</si>
  <si>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</si>
  <si>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</si>
  <si>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</si>
  <si>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</si>
  <si>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</si>
  <si>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</si>
  <si>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</si>
  <si>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</si>
  <si>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</si>
  <si>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</si>
  <si>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</si>
  <si>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</si>
  <si>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</si>
  <si>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</si>
  <si>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</si>
  <si>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</si>
  <si>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</si>
  <si>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</si>
  <si>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</si>
  <si>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</si>
  <si>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</si>
  <si>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</si>
  <si>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</si>
  <si>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</si>
  <si>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</si>
  <si>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</si>
  <si>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</si>
  <si>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</si>
  <si>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</si>
  <si>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</si>
  <si>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</si>
  <si>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</si>
  <si>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</si>
  <si>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</si>
  <si>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</si>
  <si>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</si>
  <si>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</si>
  <si>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</si>
  <si>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</si>
  <si>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</si>
  <si>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</si>
  <si>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</si>
  <si>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</si>
  <si>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</si>
  <si>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</si>
  <si>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</si>
  <si>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</si>
  <si>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</si>
  <si>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</si>
  <si>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</si>
  <si>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</si>
  <si>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</si>
  <si>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</si>
  <si>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</si>
  <si>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</si>
  <si>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</si>
  <si>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</si>
  <si>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</si>
  <si>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</si>
  <si>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</si>
  <si>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</si>
  <si>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</si>
  <si>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</si>
  <si>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</si>
  <si>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</si>
  <si>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</si>
  <si>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</si>
  <si>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</si>
  <si>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</si>
  <si>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</si>
  <si>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</si>
  <si>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</si>
  <si>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</si>
  <si>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</si>
  <si>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</si>
  <si>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</si>
  <si>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</si>
  <si>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</si>
  <si>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</si>
  <si>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</si>
  <si>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</si>
  <si>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</si>
  <si>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</si>
  <si>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</si>
  <si>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</si>
  <si>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</si>
  <si>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</si>
  <si>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</si>
  <si>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</si>
  <si>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</si>
  <si>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</si>
  <si>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</si>
  <si>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</si>
  <si>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</si>
  <si>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</si>
  <si>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</si>
  <si>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</si>
  <si>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</si>
  <si>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</si>
  <si>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</si>
  <si>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</si>
  <si>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</si>
  <si>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</si>
  <si>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</si>
  <si>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</si>
  <si>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</si>
  <si>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</si>
  <si>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</si>
  <si>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</si>
  <si>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</si>
  <si>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</si>
  <si>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</si>
  <si>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</si>
  <si>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</si>
  <si>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</si>
  <si>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</si>
  <si>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</si>
  <si>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</si>
  <si>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</si>
  <si>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</si>
  <si>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</si>
  <si>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</si>
  <si>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</si>
  <si>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</si>
  <si>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</si>
  <si>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</si>
  <si>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</si>
  <si>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</si>
  <si>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</si>
  <si>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</si>
  <si>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</si>
  <si>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</si>
  <si>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</si>
  <si>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</si>
  <si>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</si>
  <si>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</si>
  <si>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</si>
  <si>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</si>
  <si>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</si>
  <si>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</si>
  <si>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</si>
  <si>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</si>
  <si>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</si>
  <si>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</si>
  <si>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</si>
  <si>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</si>
  <si>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</si>
  <si>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</si>
  <si>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</si>
  <si>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</si>
  <si>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</si>
  <si>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</si>
  <si>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</si>
  <si>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</si>
  <si>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</si>
  <si>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</si>
  <si>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</si>
  <si>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</si>
  <si>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</si>
  <si>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</si>
  <si>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</si>
  <si>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</si>
  <si>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</si>
  <si>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</si>
  <si>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</si>
  <si>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</si>
  <si>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</si>
  <si>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</si>
  <si>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</si>
  <si>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</si>
  <si>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</si>
  <si>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</si>
  <si>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</si>
  <si>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</si>
  <si>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</si>
  <si>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</si>
  <si>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</si>
  <si>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</si>
  <si>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</si>
  <si>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</si>
  <si>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</si>
  <si>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</si>
  <si>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</si>
  <si>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</si>
  <si>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</si>
  <si>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</si>
  <si>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</si>
  <si>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</si>
  <si>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</si>
  <si>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</si>
  <si>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</si>
  <si>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</si>
  <si>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</si>
  <si>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</si>
  <si>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</si>
  <si>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</si>
  <si>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</si>
  <si>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</si>
  <si>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</si>
  <si>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</si>
  <si>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</si>
  <si>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</si>
  <si>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</si>
  <si>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</si>
  <si>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</si>
  <si>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</si>
  <si>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</si>
  <si>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</si>
  <si>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</si>
  <si>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</si>
  <si>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</si>
  <si>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</si>
  <si>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</si>
  <si>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</si>
  <si>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</si>
  <si>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</si>
  <si>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</si>
  <si>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</si>
  <si>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</si>
  <si>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</si>
  <si>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</si>
  <si>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</si>
  <si>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</si>
  <si>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</si>
  <si>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</si>
  <si>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</si>
  <si>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</si>
  <si>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</si>
  <si>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</si>
  <si>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</si>
  <si>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</si>
  <si>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</si>
  <si>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</si>
  <si>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</si>
  <si>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</si>
  <si>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</si>
  <si>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</si>
  <si>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</si>
  <si>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</si>
  <si>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</si>
  <si>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</si>
  <si>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</si>
  <si>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</si>
  <si>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</si>
  <si>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</si>
  <si>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</si>
  <si>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</si>
  <si>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</si>
  <si>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</si>
  <si>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</si>
  <si>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</si>
  <si>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</si>
  <si>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</si>
  <si>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</si>
  <si>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</si>
  <si>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</si>
  <si>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</si>
  <si>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</si>
  <si>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</si>
  <si>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</si>
  <si>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</si>
  <si>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</si>
  <si>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</si>
  <si>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</si>
  <si>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</si>
  <si>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</si>
  <si>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</si>
  <si>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</si>
  <si>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</si>
  <si>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</si>
  <si>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</si>
  <si>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</si>
  <si>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</si>
  <si>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</si>
  <si>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</si>
  <si>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</si>
  <si>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</si>
  <si>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</si>
  <si>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</si>
  <si>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</si>
  <si>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</si>
  <si>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</si>
  <si>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</si>
  <si>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</si>
  <si>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</si>
  <si>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</si>
  <si>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</si>
  <si>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</si>
  <si>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</si>
  <si>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</si>
  <si>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</si>
  <si>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</si>
  <si>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</si>
  <si>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</si>
  <si>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</si>
  <si>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</si>
  <si>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</si>
  <si>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</si>
  <si>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</si>
  <si>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</si>
  <si>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</si>
  <si>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</si>
  <si>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</si>
  <si>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</si>
  <si>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</si>
  <si>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</si>
  <si>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</si>
  <si>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</si>
  <si>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</si>
  <si>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</si>
  <si>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</si>
  <si>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</si>
  <si>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</si>
  <si>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</si>
  <si>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</si>
  <si>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</si>
  <si>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</si>
  <si>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</si>
  <si>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</si>
  <si>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</si>
  <si>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</si>
  <si>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</si>
  <si>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</si>
  <si>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</si>
  <si>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</si>
  <si>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</si>
  <si>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</si>
  <si>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</si>
  <si>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</si>
  <si>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</si>
  <si>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</si>
  <si>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</si>
  <si>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</si>
  <si>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</si>
  <si>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</si>
  <si>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</si>
  <si>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</si>
  <si>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</si>
  <si>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</si>
  <si>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</si>
  <si>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</si>
  <si>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</si>
  <si>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</si>
  <si>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</si>
  <si>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</si>
  <si>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</si>
  <si>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</si>
  <si>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</si>
  <si>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</si>
  <si>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</si>
  <si>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</si>
  <si>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</si>
  <si>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</si>
  <si>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</si>
  <si>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</si>
  <si>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</si>
  <si>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</si>
  <si>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</si>
  <si>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</si>
  <si>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</si>
  <si>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</si>
  <si>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</si>
  <si>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</si>
  <si>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</si>
  <si>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</si>
  <si>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</si>
  <si>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</si>
  <si>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</si>
  <si>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</si>
  <si>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</si>
  <si>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</si>
  <si>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</si>
  <si>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</si>
  <si>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</si>
  <si>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</si>
  <si>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</si>
  <si>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</si>
  <si>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</si>
  <si>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</si>
  <si>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</si>
  <si>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</si>
  <si>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</si>
  <si>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</si>
  <si>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</si>
  <si>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</si>
  <si>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</si>
  <si>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</si>
  <si>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</si>
  <si>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</si>
  <si>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</si>
  <si>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</si>
  <si>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</si>
  <si>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</si>
  <si>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</si>
  <si>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</si>
  <si>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</si>
  <si>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</si>
  <si>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</si>
  <si>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</si>
  <si>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</si>
  <si>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</si>
  <si>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</si>
  <si>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</si>
  <si>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</si>
  <si>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</si>
  <si>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</si>
  <si>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</si>
  <si>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</si>
  <si>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</si>
  <si>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</si>
  <si>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</si>
  <si>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</si>
  <si>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</si>
  <si>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</si>
  <si>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</si>
  <si>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</si>
  <si>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</si>
  <si>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</si>
  <si>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</si>
  <si>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</si>
  <si>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</si>
  <si>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</si>
  <si>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</si>
  <si>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</si>
  <si>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</si>
  <si>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</si>
  <si>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</si>
  <si>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</si>
  <si>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</si>
  <si>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</si>
  <si>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</si>
  <si>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</si>
  <si>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</si>
  <si>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</si>
  <si>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</si>
  <si>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</si>
  <si>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</si>
  <si>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</si>
  <si>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</si>
  <si>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</si>
  <si>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</si>
  <si>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</si>
  <si>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</si>
  <si>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</si>
  <si>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</si>
  <si>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</si>
  <si>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</si>
  <si>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</si>
  <si>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</si>
  <si>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</si>
  <si>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</si>
  <si>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</si>
  <si>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</si>
  <si>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</si>
  <si>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</si>
  <si>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</si>
  <si>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</si>
  <si>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</si>
  <si>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</si>
  <si>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</si>
  <si>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</si>
  <si>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</si>
  <si>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</si>
  <si>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</si>
  <si>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</si>
  <si>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</si>
  <si>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</si>
  <si>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</si>
  <si>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</si>
  <si>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</si>
  <si>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</si>
  <si>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</si>
  <si>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</si>
  <si>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</si>
  <si>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</si>
  <si>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</si>
  <si>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</si>
  <si>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</si>
  <si>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</si>
  <si>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</si>
  <si>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</si>
  <si>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</si>
  <si>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</si>
  <si>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</si>
  <si>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</si>
  <si>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</si>
  <si>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</si>
  <si>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</si>
  <si>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</si>
  <si>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</si>
  <si>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</si>
  <si>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</si>
  <si>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</si>
  <si>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</si>
  <si>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</si>
  <si>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</si>
  <si>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</si>
  <si>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</si>
  <si>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</si>
  <si>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</si>
  <si>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</si>
  <si>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</si>
  <si>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</si>
  <si>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</si>
  <si>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</si>
  <si>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</si>
  <si>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</si>
  <si>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</si>
  <si>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</si>
  <si>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</si>
  <si>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</si>
  <si>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</si>
  <si>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</si>
  <si>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</si>
  <si>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</si>
  <si>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</si>
  <si>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</si>
  <si>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</si>
  <si>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</si>
  <si>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</si>
  <si>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</si>
  <si>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</si>
  <si>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</si>
  <si>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</si>
  <si>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</si>
  <si>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</si>
  <si>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</si>
  <si>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</si>
  <si>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</si>
  <si>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</si>
  <si>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</si>
  <si>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</si>
  <si>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</si>
  <si>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</si>
  <si>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</si>
  <si>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</si>
  <si>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</si>
  <si>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</si>
  <si>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</si>
  <si>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</si>
  <si>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</si>
  <si>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</si>
  <si>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</si>
  <si>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</si>
  <si>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</si>
  <si>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</si>
  <si>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</si>
  <si>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</si>
  <si>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</si>
  <si>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</si>
  <si>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</si>
  <si>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</si>
  <si>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</si>
  <si>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</si>
  <si>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</si>
  <si>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</si>
  <si>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</si>
  <si>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</si>
  <si>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</si>
  <si>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</si>
  <si>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</si>
  <si>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</si>
  <si>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</si>
  <si>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</si>
  <si>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</si>
  <si>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</si>
  <si>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</si>
  <si>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</si>
  <si>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</si>
  <si>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</si>
  <si>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</si>
  <si>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</si>
  <si>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</si>
  <si>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</si>
  <si>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</si>
  <si>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</si>
  <si>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</si>
  <si>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</si>
  <si>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</si>
  <si>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</si>
  <si>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</si>
  <si>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</si>
  <si>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</si>
  <si>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</si>
  <si>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</si>
  <si>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</si>
  <si>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</si>
  <si>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</si>
  <si>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</si>
  <si>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</si>
  <si>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</si>
  <si>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</si>
  <si>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</si>
  <si>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</si>
  <si>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</si>
  <si>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</si>
  <si>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</si>
  <si>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</si>
  <si>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</si>
  <si>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</si>
  <si>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</si>
  <si>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</si>
  <si>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</si>
  <si>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</si>
  <si>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</si>
  <si>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</si>
  <si>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</si>
  <si>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</si>
  <si>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</si>
  <si>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</si>
  <si>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</si>
  <si>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</si>
  <si>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</si>
  <si>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</si>
  <si>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</si>
  <si>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</si>
  <si>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</si>
  <si>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</si>
  <si>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</si>
  <si>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</si>
  <si>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</si>
  <si>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</si>
  <si>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</si>
  <si>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</si>
  <si>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</si>
  <si>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</si>
  <si>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</si>
  <si>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</si>
  <si>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</si>
  <si>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</si>
  <si>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</si>
  <si>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</si>
  <si>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</si>
  <si>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</si>
  <si>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</si>
  <si>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</si>
  <si>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</si>
  <si>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</si>
  <si>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</si>
  <si>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</si>
  <si>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</si>
  <si>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</si>
  <si>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</si>
  <si>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</si>
  <si>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</si>
  <si>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</si>
  <si>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</si>
  <si>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</si>
  <si>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</si>
  <si>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</si>
  <si>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</si>
  <si>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</si>
  <si>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</si>
  <si>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</si>
  <si>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</si>
  <si>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</si>
  <si>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</si>
  <si>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</si>
  <si>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</si>
  <si>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</si>
  <si>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</si>
  <si>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</si>
  <si>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</si>
  <si>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</si>
  <si>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</si>
  <si>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</si>
  <si>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</si>
  <si>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</si>
  <si>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</si>
  <si>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</si>
  <si>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</si>
  <si>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</si>
  <si>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</si>
  <si>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</si>
  <si>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</si>
  <si>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</si>
  <si>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</si>
  <si>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</si>
  <si>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</si>
  <si>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</si>
  <si>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</si>
  <si>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</si>
  <si>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</si>
  <si>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</si>
  <si>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</si>
  <si>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</si>
  <si>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</si>
  <si>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</si>
  <si>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</si>
  <si>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</si>
  <si>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</si>
  <si>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</si>
  <si>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</si>
  <si>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</si>
  <si>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</si>
  <si>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</si>
  <si>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</si>
  <si>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</si>
  <si>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</si>
  <si>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</si>
  <si>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</si>
  <si>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</si>
  <si>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</si>
  <si>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</si>
  <si>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</si>
  <si>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</si>
  <si>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</si>
  <si>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</si>
  <si>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</si>
  <si>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</si>
  <si>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</si>
  <si>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</si>
  <si>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</si>
  <si>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</si>
  <si>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</si>
  <si>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</si>
  <si>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</si>
  <si>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</si>
  <si>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</si>
  <si>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</si>
  <si>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</si>
  <si>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</si>
  <si>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</si>
  <si>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</si>
  <si>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</si>
  <si>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</si>
  <si>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</si>
  <si>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</si>
  <si>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</si>
  <si>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</si>
  <si>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</si>
  <si>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</si>
  <si>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</si>
  <si>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</si>
  <si>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</si>
  <si>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</si>
  <si>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</si>
  <si>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</si>
  <si>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</si>
  <si>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</si>
  <si>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</si>
  <si>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</si>
  <si>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</si>
  <si>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</si>
  <si>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</si>
  <si>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</si>
  <si>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</si>
  <si>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</si>
  <si>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</si>
  <si>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</si>
  <si>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</si>
  <si>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</si>
  <si>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</si>
  <si>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</si>
  <si>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</si>
  <si>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</si>
  <si>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</si>
  <si>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</si>
  <si>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</si>
  <si>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</si>
  <si>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</si>
  <si>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</si>
  <si>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</si>
  <si>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</si>
  <si>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</si>
  <si>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</si>
  <si>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</si>
  <si>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</si>
  <si>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</si>
  <si>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</si>
  <si>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</si>
  <si>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</si>
  <si>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</si>
  <si>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</si>
  <si>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</si>
  <si>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</si>
  <si>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</si>
  <si>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</si>
  <si>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</si>
  <si>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</si>
  <si>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</si>
  <si>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</si>
  <si>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</si>
  <si>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</si>
  <si>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</si>
  <si>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</si>
  <si>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</si>
  <si>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</si>
  <si>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</si>
  <si>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</si>
  <si>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</si>
  <si>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</si>
  <si>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</si>
  <si>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</si>
  <si>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</si>
  <si>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</si>
  <si>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</si>
  <si>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</si>
  <si>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</si>
  <si>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</si>
  <si>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</si>
  <si>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</si>
  <si>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</si>
  <si>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</si>
  <si>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</si>
  <si>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</si>
  <si>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</si>
  <si>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</si>
  <si>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</si>
  <si>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</si>
  <si>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</si>
  <si>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</si>
  <si>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</si>
  <si>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</si>
  <si>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</si>
  <si>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</si>
  <si>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</si>
  <si>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</si>
  <si>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</si>
  <si>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</si>
  <si>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</si>
  <si>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</si>
  <si>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</si>
  <si>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</si>
  <si>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</si>
  <si>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</si>
  <si>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</si>
  <si>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</si>
  <si>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</si>
  <si>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</si>
  <si>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</si>
  <si>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</si>
  <si>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</si>
  <si>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</si>
  <si>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</si>
  <si>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</si>
  <si>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</si>
  <si>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</si>
  <si>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</si>
  <si>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</si>
  <si>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</si>
  <si>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</si>
  <si>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</si>
  <si>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</si>
  <si>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</si>
  <si>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</si>
  <si>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</si>
  <si>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</si>
  <si>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</si>
  <si>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</si>
  <si>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</si>
  <si>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</si>
  <si>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</si>
  <si>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</si>
  <si>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</si>
  <si>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</si>
  <si>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</si>
  <si>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</si>
  <si>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</si>
  <si>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</si>
  <si>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</si>
  <si>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</si>
  <si>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</si>
  <si>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</si>
  <si>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</si>
  <si>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</si>
  <si>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</si>
  <si>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</si>
  <si>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</si>
  <si>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</si>
  <si>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</si>
  <si>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</si>
  <si>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</si>
  <si>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</si>
  <si>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</si>
  <si>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</si>
  <si>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</si>
  <si>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</si>
  <si>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</si>
  <si>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</si>
  <si>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</si>
  <si>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</si>
  <si>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</si>
  <si>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</si>
  <si>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</si>
  <si>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</si>
  <si>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</si>
  <si>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</si>
  <si>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</si>
  <si>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</si>
  <si>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</si>
  <si>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</si>
  <si>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</si>
  <si>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</si>
  <si>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</si>
  <si>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</si>
  <si>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</si>
  <si>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</si>
  <si>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</si>
  <si>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</si>
  <si>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</si>
  <si>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</si>
  <si>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</si>
  <si>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</si>
  <si>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</si>
  <si>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</si>
  <si>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</si>
  <si>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</si>
  <si>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</si>
  <si>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</si>
  <si>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</si>
  <si>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</si>
  <si>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</si>
  <si>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</si>
  <si>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</si>
  <si>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</si>
  <si>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</si>
  <si>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</si>
  <si>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</si>
  <si>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</si>
  <si>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</si>
  <si>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</si>
  <si>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</si>
  <si>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</si>
  <si>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</si>
  <si>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</si>
  <si>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</si>
  <si>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</si>
  <si>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</si>
  <si>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</si>
  <si>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</si>
  <si>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</si>
  <si>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</si>
  <si>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</si>
  <si>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</si>
  <si>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</si>
  <si>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</si>
  <si>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</si>
  <si>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</si>
  <si>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</si>
  <si>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</si>
  <si>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</si>
  <si>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</si>
  <si>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</si>
  <si>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</si>
  <si>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</si>
  <si>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</si>
  <si>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</si>
  <si>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</si>
  <si>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</si>
  <si>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</si>
  <si>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</si>
  <si>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</si>
  <si>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</si>
  <si>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</si>
  <si>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</si>
  <si>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</si>
  <si>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</si>
  <si>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</si>
  <si>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</si>
  <si>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</si>
  <si>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</si>
  <si>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</si>
  <si>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</si>
  <si>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</si>
  <si>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</si>
  <si>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</si>
  <si>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</si>
  <si>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</si>
  <si>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</si>
  <si>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</si>
  <si>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</si>
  <si>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</si>
  <si>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</si>
  <si>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</si>
  <si>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</si>
  <si>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</si>
  <si>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</si>
  <si>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</si>
  <si>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</si>
  <si>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</si>
  <si>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</si>
  <si>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</si>
  <si>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</si>
  <si>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</si>
  <si>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</si>
  <si>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</si>
  <si>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</si>
  <si>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</si>
  <si>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</si>
  <si>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</si>
  <si>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</si>
  <si>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</si>
  <si>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</si>
  <si>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</si>
  <si>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</si>
  <si>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</si>
  <si>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</si>
  <si>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</si>
  <si>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</si>
  <si>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</si>
  <si>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</si>
  <si>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</si>
  <si>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</si>
  <si>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</si>
  <si>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</si>
  <si>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</si>
  <si>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</si>
  <si>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</si>
  <si>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</si>
  <si>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</si>
  <si>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</si>
  <si>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</si>
  <si>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</si>
  <si>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</si>
  <si>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</si>
  <si>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</si>
  <si>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</si>
  <si>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</si>
  <si>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</si>
  <si>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</si>
  <si>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</si>
  <si>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</si>
  <si>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</si>
  <si>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</si>
  <si>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</si>
  <si>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</si>
  <si>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</si>
  <si>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</si>
  <si>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</si>
  <si>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</si>
  <si>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</si>
  <si>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</si>
  <si>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</si>
  <si>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</si>
  <si>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</si>
  <si>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</si>
  <si>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</si>
  <si>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</si>
  <si>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</si>
  <si>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</si>
  <si>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</si>
  <si>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</si>
  <si>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</si>
  <si>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</si>
  <si>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</si>
  <si>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</si>
  <si>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</si>
  <si>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</si>
  <si>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</si>
  <si>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</si>
  <si>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</si>
  <si>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</si>
  <si>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</si>
  <si>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</si>
  <si>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</si>
  <si>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</si>
  <si>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</si>
  <si>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</si>
  <si>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</si>
  <si>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</si>
  <si>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</si>
  <si>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</si>
  <si>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</si>
  <si>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</si>
  <si>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</si>
  <si>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</si>
  <si>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</si>
  <si>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</si>
  <si>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</si>
  <si>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</si>
  <si>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</si>
  <si>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</si>
  <si>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</si>
  <si>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</si>
  <si>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</si>
  <si>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</si>
  <si>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</si>
  <si>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</si>
  <si>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</si>
  <si>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</si>
  <si>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</si>
  <si>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</si>
  <si>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</si>
  <si>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</si>
  <si>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</si>
  <si>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</si>
  <si>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</si>
  <si>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</si>
  <si>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</si>
  <si>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</si>
  <si>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</si>
  <si>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</si>
  <si>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</si>
  <si>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</si>
  <si>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</si>
  <si>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</si>
  <si>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</si>
  <si>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</si>
  <si>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</si>
  <si>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</si>
  <si>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</si>
  <si>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</si>
  <si>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</si>
  <si>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</si>
  <si>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</si>
  <si>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</si>
  <si>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</si>
  <si>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</si>
  <si>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</si>
  <si>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</si>
  <si>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</si>
  <si>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</si>
  <si>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</si>
  <si>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</si>
  <si>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</si>
  <si>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</si>
  <si>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</si>
  <si>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</si>
  <si>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</si>
  <si>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</si>
  <si>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</si>
  <si>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</si>
  <si>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</si>
  <si>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</si>
  <si>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</si>
  <si>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</si>
  <si>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</si>
  <si>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</si>
  <si>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</si>
  <si>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</si>
  <si>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</si>
  <si>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</si>
  <si>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</si>
  <si>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</si>
  <si>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</si>
  <si>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</si>
  <si>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</si>
  <si>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</si>
  <si>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</si>
  <si>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</si>
  <si>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</si>
  <si>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</si>
  <si>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</si>
  <si>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</si>
  <si>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</si>
  <si>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</si>
  <si>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</si>
  <si>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</si>
  <si>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</si>
  <si>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</si>
  <si>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</si>
  <si>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</si>
  <si>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</si>
  <si>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</si>
  <si>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</si>
  <si>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</si>
  <si>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</si>
  <si>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</si>
  <si>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</si>
  <si>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</si>
  <si>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</si>
  <si>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</si>
  <si>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</si>
  <si>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</si>
  <si>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</si>
  <si>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</si>
  <si>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</si>
  <si>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</si>
  <si>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</si>
  <si>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</si>
  <si>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</si>
  <si>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</si>
  <si>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</si>
  <si>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</si>
  <si>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</si>
  <si>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</si>
  <si>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</si>
  <si>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</si>
  <si>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</si>
  <si>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</si>
  <si>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</si>
  <si>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</si>
  <si>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</si>
  <si>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</si>
  <si>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</si>
  <si>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</si>
  <si>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</si>
  <si>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</si>
  <si>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</si>
  <si>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</si>
  <si>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</si>
  <si>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</si>
  <si>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</si>
  <si>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</si>
  <si>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</si>
  <si>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</si>
  <si>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</si>
  <si>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</si>
  <si>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</si>
  <si>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</si>
  <si>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</si>
  <si>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</si>
  <si>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</si>
  <si>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</si>
  <si>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</si>
  <si>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</si>
  <si>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</si>
  <si>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</si>
  <si>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</si>
  <si>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</si>
  <si>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</si>
  <si>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</si>
  <si>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</si>
  <si>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</si>
  <si>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</si>
  <si>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</si>
  <si>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</si>
  <si>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</si>
  <si>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</si>
  <si>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</si>
  <si>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</si>
  <si>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</si>
  <si>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</si>
  <si>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</si>
  <si>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</si>
  <si>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</si>
  <si>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</si>
  <si>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</si>
  <si>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</si>
  <si>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</si>
  <si>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</si>
  <si>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</si>
  <si>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</si>
  <si>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</si>
  <si>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</si>
  <si>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</si>
  <si>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</si>
  <si>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</si>
  <si>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</si>
  <si>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</si>
  <si>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</si>
  <si>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</si>
  <si>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</si>
  <si>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</si>
  <si>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</si>
  <si>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</si>
  <si>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</si>
  <si>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</si>
  <si>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</si>
  <si>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</si>
  <si>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</si>
  <si>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</si>
  <si>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</si>
  <si>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</si>
  <si>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</si>
  <si>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</si>
  <si>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</si>
  <si>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</si>
  <si>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</si>
  <si>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</si>
  <si>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</si>
  <si>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</si>
  <si>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</si>
  <si>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</si>
  <si>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</si>
  <si>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</si>
  <si>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</si>
  <si>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</si>
  <si>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</si>
  <si>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</si>
  <si>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</si>
  <si>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</si>
  <si>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</si>
  <si>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</si>
  <si>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</si>
  <si>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</si>
  <si>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</si>
  <si>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</si>
  <si>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</si>
  <si>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</si>
  <si>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</si>
  <si>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</si>
  <si>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</si>
  <si>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</si>
  <si>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</si>
  <si>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</si>
  <si>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</si>
  <si>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</si>
  <si>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</si>
  <si>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</si>
  <si>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</si>
  <si>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</si>
  <si>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</si>
  <si>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</si>
  <si>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</si>
  <si>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</si>
  <si>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</si>
  <si>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</si>
  <si>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</si>
  <si>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</si>
  <si>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</si>
  <si>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</si>
  <si>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</si>
  <si>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</si>
  <si>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</si>
  <si>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</si>
  <si>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</si>
  <si>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</si>
  <si>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</si>
  <si>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</si>
  <si>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</si>
  <si>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</si>
  <si>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</si>
  <si>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</si>
  <si>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</si>
  <si>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</si>
  <si>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</si>
  <si>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</si>
  <si>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</si>
  <si>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</si>
  <si>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</si>
  <si>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</si>
  <si>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</si>
  <si>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</si>
  <si>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</si>
  <si>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</si>
  <si>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</si>
  <si>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</si>
  <si>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</si>
  <si>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</si>
  <si>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</si>
  <si>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</si>
  <si>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</si>
  <si>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</si>
  <si>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</si>
  <si>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</si>
  <si>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</si>
  <si>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</si>
  <si>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</si>
  <si>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</si>
  <si>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</si>
  <si>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</si>
  <si>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</si>
  <si>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</si>
  <si>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</si>
  <si>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</si>
  <si>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</si>
  <si>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</si>
  <si>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</si>
  <si>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</si>
  <si>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</si>
  <si>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</si>
  <si>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</si>
  <si>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</si>
  <si>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</si>
  <si>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</si>
  <si>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</si>
  <si>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</si>
  <si>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</si>
  <si>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</si>
  <si>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</si>
  <si>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</si>
  <si>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</si>
  <si>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</si>
  <si>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</si>
  <si>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</si>
  <si>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</si>
  <si>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</si>
  <si>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</si>
  <si>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</si>
  <si>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</si>
  <si>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</si>
  <si>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</si>
  <si>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</si>
  <si>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</si>
  <si>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</si>
  <si>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</si>
  <si>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</si>
  <si>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</si>
  <si>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</si>
  <si>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</si>
  <si>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</si>
  <si>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</si>
  <si>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</si>
  <si>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</si>
  <si>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</si>
  <si>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</si>
  <si>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</si>
  <si>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</si>
  <si>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</si>
  <si>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</si>
  <si>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</si>
  <si>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</si>
  <si>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</si>
  <si>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</si>
  <si>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</si>
  <si>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</si>
  <si>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</si>
  <si>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</si>
  <si>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</si>
  <si>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</si>
  <si>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</si>
  <si>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</si>
  <si>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</si>
  <si>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</si>
  <si>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</si>
  <si>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</si>
  <si>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</si>
  <si>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</si>
  <si>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</si>
  <si>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</si>
  <si>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</si>
  <si>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</si>
  <si>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</si>
  <si>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</si>
  <si>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</si>
  <si>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</si>
  <si>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</si>
  <si>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</si>
  <si>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</si>
  <si>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</si>
  <si>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</si>
  <si>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</si>
  <si>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</si>
  <si>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</si>
  <si>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</si>
  <si>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</si>
  <si>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</si>
  <si>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</si>
  <si>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</si>
  <si>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</si>
  <si>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</si>
  <si>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</si>
  <si>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</si>
  <si>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</si>
  <si>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</si>
  <si>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</si>
  <si>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</si>
  <si>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</si>
  <si>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</si>
  <si>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</si>
  <si>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</si>
  <si>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</si>
  <si>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</si>
  <si>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</si>
  <si>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</si>
  <si>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</si>
  <si>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</si>
  <si>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</si>
  <si>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</si>
  <si>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</si>
  <si>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</si>
  <si>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</si>
  <si>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</si>
  <si>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</si>
  <si>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</si>
  <si>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</si>
  <si>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</si>
  <si>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</si>
  <si>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</si>
  <si>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</si>
  <si>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</si>
  <si>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</si>
  <si>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</si>
  <si>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</si>
  <si>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</si>
  <si>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</si>
  <si>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</si>
  <si>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</si>
  <si>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</si>
  <si>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</si>
  <si>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</si>
  <si>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</si>
  <si>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</si>
  <si>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</si>
  <si>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</si>
  <si>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</si>
  <si>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</si>
  <si>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</si>
  <si>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</si>
  <si>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</si>
  <si>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</si>
  <si>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</si>
  <si>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</si>
  <si>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</si>
  <si>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</si>
  <si>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</si>
  <si>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</si>
  <si>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</si>
  <si>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</si>
  <si>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</si>
  <si>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</si>
  <si>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</si>
  <si>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</si>
  <si>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</si>
  <si>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</si>
  <si>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</si>
  <si>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</si>
  <si>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</si>
  <si>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</si>
  <si>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</si>
  <si>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</si>
  <si>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</si>
  <si>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</si>
  <si>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</si>
  <si>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</si>
  <si>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</si>
  <si>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</si>
  <si>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</si>
  <si>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</si>
  <si>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</si>
  <si>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</si>
  <si>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</si>
  <si>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</si>
  <si>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</si>
  <si>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</si>
  <si>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</si>
  <si>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</si>
  <si>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</si>
  <si>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</si>
  <si>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</si>
  <si>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</si>
  <si>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</si>
  <si>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</si>
  <si>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</si>
  <si>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</si>
  <si>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</si>
  <si>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</si>
  <si>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</si>
  <si>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</si>
  <si>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</si>
  <si>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</si>
  <si>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</si>
  <si>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</si>
  <si>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</si>
  <si>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</si>
  <si>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</si>
  <si>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</si>
  <si>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</si>
  <si>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</si>
  <si>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</si>
  <si>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</si>
  <si>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</si>
  <si>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</si>
  <si>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</si>
  <si>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</si>
  <si>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</si>
  <si>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</si>
  <si>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</si>
  <si>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</si>
  <si>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</si>
  <si>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</si>
  <si>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</si>
  <si>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</si>
  <si>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</si>
  <si>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</si>
  <si>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</si>
  <si>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</si>
  <si>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</si>
  <si>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</si>
  <si>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</si>
  <si>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</si>
  <si>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</si>
  <si>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</si>
  <si>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</si>
  <si>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</si>
  <si>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</si>
  <si>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</si>
  <si>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</si>
  <si>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</si>
  <si>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</si>
  <si>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</si>
  <si>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</si>
  <si>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</si>
  <si>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</si>
  <si>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</si>
  <si>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</si>
  <si>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</si>
  <si>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</si>
  <si>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</si>
  <si>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</si>
  <si>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</si>
  <si>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</si>
  <si>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</si>
  <si>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</si>
  <si>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</si>
  <si>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</si>
  <si>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</si>
  <si>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</si>
  <si>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</si>
  <si>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</si>
  <si>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</si>
  <si>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</si>
  <si>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</si>
  <si>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</si>
  <si>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</si>
  <si>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</si>
  <si>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</si>
  <si>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</si>
  <si>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</si>
  <si>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</si>
  <si>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</si>
  <si>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</si>
  <si>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</si>
  <si>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</si>
  <si>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</si>
  <si>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</si>
  <si>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</si>
  <si>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</si>
  <si>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</si>
  <si>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</si>
  <si>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</si>
  <si>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</si>
  <si>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</si>
  <si>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</si>
  <si>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</si>
  <si>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</si>
  <si>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</si>
  <si>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</si>
  <si>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</si>
  <si>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</si>
  <si>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</si>
  <si>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</si>
  <si>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</si>
  <si>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</si>
  <si>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</si>
  <si>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</si>
  <si>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</si>
  <si>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</si>
  <si>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</si>
  <si>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</si>
  <si>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</si>
  <si>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</si>
  <si>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</si>
  <si>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</si>
  <si>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</si>
  <si>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</si>
  <si>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</si>
  <si>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</si>
  <si>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</si>
  <si>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</si>
  <si>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</si>
  <si>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</si>
  <si>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</si>
  <si>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</si>
  <si>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</si>
  <si>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</si>
  <si>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</si>
  <si>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</si>
  <si>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</si>
  <si>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</si>
  <si>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</si>
  <si>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</si>
  <si>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</si>
  <si>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</si>
  <si>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</si>
  <si>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</si>
  <si>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</si>
  <si>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</si>
  <si>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</si>
  <si>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</si>
  <si>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</si>
  <si>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</si>
  <si>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</si>
  <si>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</si>
  <si>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</si>
  <si>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</si>
  <si>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</si>
  <si>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</si>
  <si>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</si>
  <si>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</si>
  <si>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</si>
  <si>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</si>
  <si>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</si>
  <si>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</si>
  <si>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</si>
  <si>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</si>
  <si>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</si>
  <si>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</si>
  <si>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</si>
  <si>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</si>
  <si>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</si>
  <si>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</si>
  <si>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</si>
  <si>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</si>
  <si>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</si>
  <si>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</si>
  <si>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</si>
  <si>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</si>
  <si>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</si>
  <si>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</si>
  <si>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</si>
  <si>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</si>
  <si>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</si>
  <si>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</si>
  <si>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</si>
  <si>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</si>
  <si>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</si>
  <si>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</si>
  <si>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</si>
  <si>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</si>
  <si>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</si>
  <si>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</si>
  <si>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</si>
  <si>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</si>
  <si>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</si>
  <si>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</si>
  <si>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</si>
  <si>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</si>
  <si>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</si>
  <si>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</si>
  <si>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</si>
  <si>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</si>
  <si>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</si>
  <si>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</si>
  <si>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</si>
  <si>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</si>
  <si>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</si>
  <si>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</si>
  <si>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</si>
  <si>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</si>
  <si>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</si>
  <si>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</si>
  <si>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</si>
  <si>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</si>
  <si>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</si>
  <si>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</si>
  <si>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</si>
  <si>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</si>
  <si>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</si>
  <si>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</si>
  <si>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</si>
  <si>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</si>
  <si>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</si>
  <si>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</si>
  <si>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</si>
  <si>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</si>
  <si>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</si>
  <si>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</si>
  <si>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</si>
  <si>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</si>
  <si>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</si>
  <si>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</si>
  <si>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</si>
  <si>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</si>
  <si>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</si>
  <si>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</si>
  <si>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</si>
  <si>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</si>
  <si>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</si>
  <si>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</si>
  <si>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</si>
  <si>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</si>
  <si>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</si>
  <si>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</si>
  <si>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</si>
  <si>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</si>
  <si>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</si>
  <si>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</si>
  <si>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</si>
  <si>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</si>
  <si>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</si>
  <si>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</si>
  <si>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</si>
  <si>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</si>
  <si>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</si>
  <si>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</si>
  <si>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</si>
  <si>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</si>
  <si>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</si>
  <si>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</si>
  <si>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</si>
  <si>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</si>
  <si>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</si>
  <si>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</si>
  <si>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</si>
  <si>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</si>
  <si>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</si>
  <si>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</si>
  <si>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</si>
  <si>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</si>
  <si>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</si>
  <si>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</si>
  <si>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</si>
  <si>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</si>
  <si>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</si>
  <si>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</si>
  <si>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</si>
  <si>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</si>
  <si>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</si>
  <si>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</si>
  <si>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</si>
  <si>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</si>
  <si>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</si>
  <si>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</si>
  <si>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</si>
  <si>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</si>
  <si>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</si>
  <si>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</si>
  <si>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</si>
  <si>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</si>
  <si>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</si>
  <si>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</si>
  <si>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</si>
  <si>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</si>
  <si>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</si>
  <si>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</si>
  <si>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</si>
  <si>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</si>
  <si>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</si>
  <si>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</si>
  <si>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</si>
  <si>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</si>
  <si>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</si>
  <si>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</si>
  <si>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</si>
  <si>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</si>
  <si>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</si>
  <si>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</si>
  <si>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</si>
  <si>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</si>
  <si>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</si>
  <si>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</si>
  <si>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</si>
  <si>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</si>
  <si>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</si>
  <si>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</si>
  <si>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</si>
  <si>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</si>
  <si>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</si>
  <si>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</si>
  <si>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</si>
  <si>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</si>
  <si>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</si>
  <si>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</si>
  <si>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</si>
  <si>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</si>
  <si>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</si>
  <si>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</si>
  <si>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</si>
  <si>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</si>
  <si>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</si>
  <si>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</si>
  <si>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</si>
  <si>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</si>
  <si>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</si>
  <si>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</si>
  <si>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</si>
  <si>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</si>
  <si>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</si>
  <si>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</si>
  <si>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</si>
  <si>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</si>
  <si>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</si>
  <si>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</si>
  <si>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</si>
  <si>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</si>
  <si>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</si>
  <si>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</si>
  <si>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</si>
  <si>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</si>
  <si>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</si>
  <si>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</si>
  <si>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</si>
  <si>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</si>
  <si>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</si>
  <si>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</si>
  <si>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</si>
  <si>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</si>
  <si>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</si>
  <si>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</si>
  <si>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</si>
  <si>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</si>
  <si>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</si>
  <si>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</si>
  <si>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</si>
  <si>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</si>
  <si>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</si>
  <si>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</si>
  <si>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</si>
  <si>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</si>
  <si>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</si>
  <si>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</si>
  <si>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</si>
  <si>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</si>
  <si>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</si>
  <si>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</si>
  <si>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</si>
  <si>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</si>
  <si>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</si>
  <si>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</si>
  <si>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</si>
  <si>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</si>
  <si>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</si>
  <si>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</si>
  <si>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</si>
  <si>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</si>
  <si>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</si>
  <si>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</si>
  <si>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</si>
  <si>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</si>
  <si>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</si>
  <si>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</si>
  <si>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</si>
  <si>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</si>
  <si>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</si>
  <si>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</si>
  <si>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</si>
  <si>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</si>
  <si>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</si>
  <si>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</si>
  <si>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</si>
  <si>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</si>
  <si>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</si>
  <si>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</si>
  <si>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</si>
  <si>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</si>
  <si>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</si>
  <si>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</si>
  <si>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</si>
  <si>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</si>
  <si>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</si>
  <si>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</si>
  <si>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</si>
  <si>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</si>
  <si>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</si>
  <si>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</si>
  <si>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</si>
  <si>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</si>
  <si>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</si>
  <si>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</si>
  <si>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</si>
  <si>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</si>
  <si>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</si>
  <si>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</si>
  <si>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</si>
  <si>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</si>
  <si>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</si>
  <si>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</si>
  <si>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</si>
  <si>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</si>
  <si>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</si>
  <si>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</si>
  <si>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</si>
  <si>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</si>
  <si>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</si>
  <si>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</si>
  <si>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</si>
  <si>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</si>
  <si>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</si>
  <si>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</si>
  <si>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</si>
  <si>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</si>
  <si>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</si>
  <si>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</si>
  <si>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</si>
  <si>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</si>
  <si>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</si>
  <si>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</si>
  <si>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</si>
  <si>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</si>
  <si>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</si>
  <si>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</si>
  <si>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</si>
  <si>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</si>
  <si>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</si>
  <si>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</si>
  <si>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</si>
  <si>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</si>
  <si>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</si>
  <si>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</si>
  <si>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</si>
  <si>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</si>
  <si>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</si>
  <si>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</si>
  <si>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</si>
  <si>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</si>
  <si>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</si>
  <si>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</si>
  <si>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</si>
  <si>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</si>
  <si>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</si>
  <si>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</si>
  <si>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</si>
  <si>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</si>
  <si>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</si>
  <si>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</si>
  <si>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</si>
  <si>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</si>
  <si>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</si>
  <si>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</si>
  <si>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</si>
  <si>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</si>
  <si>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</si>
  <si>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</si>
  <si>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</si>
  <si>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</si>
  <si>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</si>
  <si>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</si>
  <si>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</si>
  <si>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</si>
  <si>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</si>
  <si>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</si>
  <si>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</si>
  <si>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</si>
  <si>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</si>
  <si>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</si>
  <si>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</si>
  <si>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</si>
  <si>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</si>
  <si>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</si>
  <si>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</si>
  <si>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</si>
  <si>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</si>
  <si>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</si>
  <si>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</si>
  <si>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</si>
  <si>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</si>
  <si>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</si>
  <si>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</si>
  <si>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</si>
  <si>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</si>
  <si>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</si>
  <si>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</si>
  <si>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</si>
  <si>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</si>
  <si>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</si>
  <si>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</si>
  <si>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</si>
  <si>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</si>
  <si>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</si>
  <si>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</si>
  <si>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</si>
  <si>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</si>
  <si>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</si>
  <si>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</si>
  <si>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</si>
  <si>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</si>
  <si>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</si>
  <si>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</si>
  <si>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</si>
  <si>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</si>
  <si>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</si>
  <si>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</si>
  <si>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</si>
  <si>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</si>
  <si>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</si>
  <si>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</si>
  <si>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</si>
  <si>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</si>
  <si>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</si>
  <si>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</si>
  <si>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</si>
  <si>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</si>
  <si>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</si>
  <si>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</si>
  <si>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</si>
  <si>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</si>
  <si>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</si>
  <si>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</si>
  <si>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</si>
  <si>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</si>
  <si>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</si>
  <si>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</si>
  <si>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</si>
  <si>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</si>
  <si>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</si>
  <si>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</si>
  <si>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</si>
  <si>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</si>
  <si>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</si>
  <si>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</si>
  <si>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</si>
  <si>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</si>
  <si>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</si>
  <si>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</si>
  <si>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</si>
  <si>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</si>
  <si>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</si>
  <si>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</si>
  <si>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</si>
  <si>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</si>
  <si>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</si>
  <si>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</si>
  <si>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</si>
  <si>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</si>
  <si>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</si>
  <si>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</si>
  <si>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</si>
  <si>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</si>
  <si>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</si>
  <si>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</si>
  <si>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</si>
  <si>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</si>
  <si>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</si>
  <si>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</si>
  <si>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</si>
  <si>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</si>
  <si>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</si>
  <si>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</si>
  <si>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</si>
  <si>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</si>
  <si>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</si>
  <si>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</si>
  <si>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</si>
  <si>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</si>
  <si>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</si>
  <si>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</si>
  <si>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</si>
  <si>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</si>
  <si>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</si>
  <si>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</si>
  <si>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</si>
  <si>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</si>
  <si>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</si>
  <si>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</si>
  <si>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</si>
  <si>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</si>
  <si>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</si>
  <si>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</si>
  <si>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</si>
  <si>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</si>
  <si>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</si>
  <si>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</si>
  <si>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</si>
  <si>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</si>
  <si>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</si>
  <si>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</si>
  <si>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</si>
  <si>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</si>
  <si>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</si>
  <si>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</si>
  <si>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</si>
  <si>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</si>
  <si>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</si>
  <si>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</si>
  <si>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</si>
  <si>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</si>
  <si>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</si>
  <si>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</si>
  <si>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</si>
  <si>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</si>
  <si>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</si>
  <si>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</si>
  <si>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</si>
  <si>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</si>
  <si>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</si>
  <si>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</si>
  <si>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</si>
  <si>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</si>
  <si>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</si>
  <si>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</si>
  <si>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</si>
  <si>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</si>
  <si>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</si>
  <si>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</si>
  <si>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</si>
  <si>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</si>
  <si>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</si>
  <si>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</si>
  <si>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</si>
  <si>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</si>
  <si>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</si>
  <si>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</si>
  <si>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</si>
  <si>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</si>
  <si>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</si>
  <si>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</si>
  <si>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</si>
  <si>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</si>
  <si>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</si>
  <si>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</si>
  <si>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</si>
  <si>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</si>
  <si>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</si>
  <si>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</si>
  <si>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</si>
  <si>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</si>
  <si>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</si>
  <si>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</si>
  <si>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</si>
  <si>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</si>
  <si>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</si>
  <si>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</si>
  <si>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</si>
  <si>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</si>
  <si>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</si>
  <si>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</si>
  <si>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</si>
  <si>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</si>
  <si>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</si>
  <si>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</si>
  <si>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</si>
  <si>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</si>
  <si>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</si>
  <si>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</si>
  <si>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</si>
  <si>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</si>
  <si>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</si>
  <si>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</si>
  <si>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</si>
  <si>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</si>
  <si>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</si>
  <si>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</si>
  <si>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</si>
  <si>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</si>
  <si>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</si>
  <si>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</si>
  <si>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</si>
  <si>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</si>
  <si>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</si>
  <si>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</si>
  <si>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</si>
  <si>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</si>
  <si>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</si>
  <si>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</si>
  <si>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</si>
  <si>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</si>
  <si>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</si>
  <si>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</si>
  <si>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</si>
  <si>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</si>
  <si>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</si>
  <si>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</si>
  <si>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</si>
  <si>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</si>
  <si>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</si>
  <si>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</si>
  <si>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</si>
  <si>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</si>
  <si>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</si>
  <si>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</si>
  <si>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</si>
  <si>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</si>
  <si>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</si>
  <si>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</si>
  <si>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</si>
  <si>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</si>
  <si>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</si>
  <si>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</si>
  <si>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</si>
  <si>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</si>
  <si>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</si>
  <si>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</si>
  <si>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</si>
  <si>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</si>
  <si>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</si>
  <si>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</si>
  <si>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</si>
  <si>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</si>
  <si>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</si>
  <si>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</si>
  <si>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</si>
  <si>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</si>
  <si>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</si>
  <si>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</si>
  <si>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</si>
  <si>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</si>
  <si>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</si>
  <si>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</si>
  <si>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</si>
  <si>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</si>
  <si>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</si>
  <si>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</si>
  <si>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</si>
  <si>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</si>
  <si>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</si>
  <si>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</si>
  <si>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</si>
  <si>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</si>
  <si>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</si>
  <si>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</si>
  <si>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</si>
  <si>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</si>
  <si>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</si>
  <si>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</si>
  <si>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</si>
  <si>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</si>
  <si>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</si>
  <si>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</si>
  <si>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</si>
  <si>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</si>
  <si>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</si>
  <si>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</si>
  <si>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</si>
  <si>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</si>
  <si>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</si>
  <si>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</si>
  <si>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</si>
  <si>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</si>
  <si>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</si>
  <si>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</si>
  <si>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</si>
  <si>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</si>
  <si>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</si>
  <si>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</si>
  <si>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</si>
  <si>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</si>
  <si>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</si>
  <si>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</si>
  <si>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</si>
  <si>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</si>
  <si>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</si>
  <si>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</si>
  <si>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</si>
  <si>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</si>
  <si>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</si>
  <si>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</si>
  <si>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</si>
  <si>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</si>
  <si>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</si>
  <si>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</si>
  <si>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</si>
  <si>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</si>
  <si>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</si>
  <si>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</si>
  <si>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</si>
  <si>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</si>
  <si>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</si>
  <si>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</si>
  <si>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</si>
  <si>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</si>
  <si>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</si>
  <si>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</si>
  <si>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</si>
  <si>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</si>
  <si>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</si>
  <si>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</si>
  <si>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</si>
  <si>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</si>
  <si>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</si>
  <si>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</si>
  <si>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</si>
  <si>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</si>
  <si>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</si>
  <si>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</si>
  <si>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</si>
  <si>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</si>
  <si>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</si>
  <si>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</si>
  <si>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</si>
  <si>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</si>
  <si>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</si>
  <si>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</si>
  <si>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</si>
  <si>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</si>
  <si>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</si>
  <si>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</si>
  <si>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</si>
  <si>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</si>
  <si>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</si>
  <si>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</si>
  <si>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</si>
  <si>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</si>
  <si>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</si>
  <si>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</si>
  <si>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</si>
  <si>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</si>
  <si>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</si>
  <si>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</si>
  <si>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</si>
  <si>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</si>
  <si>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</si>
  <si>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</si>
  <si>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</si>
  <si>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</si>
  <si>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</si>
  <si>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</si>
  <si>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</si>
  <si>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</si>
  <si>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</si>
  <si>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</si>
  <si>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</si>
  <si>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</si>
  <si>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</si>
  <si>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</si>
  <si>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</si>
  <si>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</si>
  <si>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</si>
  <si>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</si>
  <si>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</si>
  <si>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</si>
  <si>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</si>
  <si>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</si>
  <si>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</si>
  <si>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</si>
  <si>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</si>
  <si>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</si>
  <si>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</si>
  <si>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</si>
  <si>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</si>
  <si>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</si>
  <si>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</si>
  <si>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</si>
  <si>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</si>
  <si>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</si>
  <si>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</si>
  <si>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</si>
  <si>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</si>
  <si>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</si>
  <si>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</si>
  <si>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</si>
  <si>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</si>
  <si>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</si>
  <si>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</si>
  <si>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</si>
  <si>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</si>
  <si>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</si>
  <si>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</si>
  <si>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</si>
  <si>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</si>
  <si>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</si>
  <si>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</si>
  <si>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</si>
  <si>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</si>
  <si>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</si>
  <si>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</si>
  <si>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</si>
  <si>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</si>
  <si>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</si>
  <si>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</si>
  <si>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</si>
  <si>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</si>
  <si>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</si>
  <si>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</si>
  <si>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</si>
  <si>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</si>
  <si>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</si>
  <si>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</si>
  <si>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</si>
  <si>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</si>
  <si>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</si>
  <si>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</si>
  <si>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</si>
  <si>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</si>
  <si>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</si>
  <si>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</si>
  <si>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</si>
  <si>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</si>
  <si>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</si>
  <si>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</si>
  <si>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</si>
  <si>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</si>
  <si>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</si>
  <si>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</si>
  <si>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</si>
  <si>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</si>
  <si>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</si>
  <si>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</si>
  <si>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</si>
  <si>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</si>
  <si>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</si>
  <si>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</si>
  <si>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</si>
  <si>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</si>
  <si>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</si>
  <si>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</si>
  <si>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</si>
  <si>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</si>
  <si>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</si>
  <si>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</si>
  <si>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</si>
  <si>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</si>
  <si>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</si>
  <si>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</si>
  <si>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</si>
  <si>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</si>
  <si>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</si>
  <si>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</si>
  <si>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</si>
  <si>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</si>
  <si>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</si>
  <si>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</si>
  <si>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</si>
  <si>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</si>
  <si>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</si>
  <si>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</si>
  <si>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</si>
  <si>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</si>
  <si>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</si>
  <si>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</si>
  <si>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</si>
  <si>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</si>
  <si>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</si>
  <si>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</si>
  <si>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</si>
  <si>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</si>
  <si>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</si>
  <si>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</si>
  <si>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</si>
  <si>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</si>
  <si>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</si>
  <si>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</si>
  <si>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</si>
  <si>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</si>
  <si>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</si>
  <si>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</si>
  <si>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</si>
  <si>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</si>
  <si>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</si>
  <si>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</si>
  <si>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</si>
  <si>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</si>
  <si>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</si>
  <si>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</si>
  <si>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</si>
  <si>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</si>
  <si>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</si>
  <si>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</si>
  <si>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</si>
  <si>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</si>
  <si>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</si>
  <si>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</si>
  <si>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</si>
  <si>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</si>
  <si>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</si>
  <si>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</si>
  <si>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</si>
  <si>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</si>
  <si>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</si>
  <si>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</si>
  <si>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</si>
  <si>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</si>
  <si>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</si>
  <si>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</si>
  <si>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</si>
  <si>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</si>
  <si>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</si>
  <si>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</si>
  <si>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</si>
  <si>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</si>
  <si>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</si>
  <si>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</si>
  <si>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</si>
  <si>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</si>
  <si>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</si>
  <si>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</si>
  <si>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</si>
  <si>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</si>
  <si>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</si>
  <si>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</si>
  <si>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</si>
  <si>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</si>
  <si>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</si>
  <si>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</si>
  <si>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</si>
  <si>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</si>
  <si>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</si>
  <si>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</si>
  <si>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</si>
  <si>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</si>
  <si>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</si>
  <si>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</si>
  <si>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</si>
  <si>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</si>
  <si>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</si>
  <si>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</si>
  <si>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</si>
  <si>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</si>
  <si>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</si>
  <si>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</si>
  <si>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</si>
  <si>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</si>
  <si>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</si>
  <si>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</si>
  <si>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</si>
  <si>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</si>
  <si>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</si>
  <si>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</si>
  <si>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</si>
  <si>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</si>
  <si>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</si>
  <si>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</si>
  <si>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</si>
  <si>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</si>
  <si>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</si>
  <si>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</si>
  <si>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</si>
  <si>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</si>
  <si>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</si>
  <si>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</si>
  <si>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</si>
  <si>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</si>
  <si>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</si>
  <si>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</si>
  <si>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</si>
  <si>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</si>
  <si>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</si>
  <si>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</si>
  <si>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</si>
  <si>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</si>
  <si>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</si>
  <si>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</si>
  <si>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</si>
  <si>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</si>
  <si>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</si>
  <si>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</si>
  <si>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</si>
  <si>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</si>
  <si>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</si>
  <si>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</si>
  <si>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</si>
  <si>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</si>
  <si>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</si>
  <si>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</si>
  <si>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</si>
  <si>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</si>
  <si>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</si>
  <si>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</si>
  <si>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</si>
  <si>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</si>
  <si>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</si>
  <si>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</si>
  <si>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</si>
  <si>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</si>
  <si>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</si>
  <si>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</si>
  <si>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</si>
  <si>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</si>
  <si>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</si>
  <si>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</si>
  <si>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</si>
  <si>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</si>
  <si>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</si>
  <si>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</si>
  <si>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</si>
  <si>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</si>
  <si>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</si>
  <si>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</si>
  <si>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</si>
  <si>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</si>
  <si>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</si>
  <si>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</si>
  <si>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</si>
  <si>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</si>
  <si>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</si>
  <si>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</si>
  <si>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</si>
  <si>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</si>
  <si>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</si>
  <si>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</si>
  <si>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</si>
  <si>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</si>
  <si>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</si>
  <si>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</si>
  <si>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</si>
  <si>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</si>
  <si>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</si>
  <si>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</si>
  <si>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</si>
  <si>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</si>
  <si>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</si>
  <si>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</si>
  <si>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</si>
  <si>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</si>
  <si>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</si>
  <si>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</si>
  <si>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</si>
  <si>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</si>
  <si>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</si>
  <si>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</si>
  <si>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</si>
  <si>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</si>
  <si>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</si>
  <si>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</si>
  <si>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</si>
  <si>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</si>
  <si>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</si>
  <si>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</si>
  <si>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</si>
  <si>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</si>
  <si>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</si>
  <si>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</si>
  <si>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</si>
  <si>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</si>
  <si>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</si>
  <si>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</si>
  <si>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</si>
  <si>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</si>
  <si>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</si>
  <si>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</si>
  <si>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</si>
  <si>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</si>
  <si>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</si>
  <si>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</si>
  <si>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</si>
  <si>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</si>
  <si>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</si>
  <si>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</si>
  <si>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</si>
  <si>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</si>
  <si>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</si>
  <si>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</si>
  <si>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</si>
  <si>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</si>
  <si>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</si>
  <si>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</si>
  <si>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</si>
  <si>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</si>
  <si>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</si>
  <si>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</si>
  <si>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</si>
  <si>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</si>
  <si>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</si>
  <si>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</si>
  <si>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</si>
  <si>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</si>
  <si>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</si>
  <si>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</si>
  <si>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</si>
  <si>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</si>
  <si>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</si>
  <si>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</si>
  <si>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</si>
  <si>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</si>
  <si>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</si>
  <si>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</si>
  <si>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</si>
  <si>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</si>
  <si>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</si>
  <si>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</si>
  <si>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</si>
  <si>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</si>
  <si>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</si>
  <si>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</si>
  <si>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</si>
  <si>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</si>
  <si>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</si>
  <si>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</si>
  <si>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</si>
  <si>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</si>
  <si>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</si>
  <si>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</si>
  <si>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</si>
  <si>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</si>
  <si>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</si>
  <si>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</si>
  <si>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</si>
  <si>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</si>
  <si>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</si>
  <si>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</si>
  <si>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</si>
  <si>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</si>
  <si>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</si>
  <si>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</si>
  <si>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</si>
  <si>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</si>
  <si>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</si>
  <si>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</si>
  <si>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</si>
  <si>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</si>
  <si>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</si>
  <si>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</si>
  <si>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</si>
  <si>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</si>
  <si>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</si>
  <si>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</si>
  <si>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</si>
  <si>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</si>
  <si>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</si>
  <si>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</si>
  <si>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</si>
  <si>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</si>
  <si>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</si>
  <si>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</si>
  <si>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</si>
  <si>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</si>
  <si>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</si>
  <si>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</si>
  <si>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</si>
  <si>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</si>
  <si>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</si>
  <si>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</si>
  <si>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</si>
  <si>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</si>
  <si>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</si>
  <si>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</si>
  <si>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</si>
  <si>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</si>
  <si>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</si>
  <si>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</si>
  <si>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</si>
  <si>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</si>
  <si>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</si>
  <si>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</si>
  <si>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</si>
  <si>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</si>
  <si>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</si>
  <si>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</si>
  <si>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</si>
  <si>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</si>
  <si>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</si>
  <si>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</si>
  <si>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</si>
  <si>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</si>
  <si>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</si>
  <si>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</si>
  <si>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</si>
  <si>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</si>
  <si>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</si>
  <si>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</si>
  <si>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</si>
  <si>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</si>
  <si>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</si>
  <si>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</si>
  <si>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</si>
  <si>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</si>
  <si>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</si>
  <si>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</si>
  <si>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</si>
  <si>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</si>
  <si>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</si>
  <si>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</si>
  <si>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</si>
  <si>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</si>
  <si>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</si>
  <si>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</si>
  <si>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</si>
  <si>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</si>
  <si>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</si>
  <si>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</si>
  <si>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</si>
  <si>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</si>
  <si>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</si>
  <si>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</si>
  <si>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</si>
  <si>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</si>
  <si>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</si>
  <si>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</si>
  <si>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</si>
  <si>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</si>
  <si>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</si>
  <si>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</si>
  <si>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</si>
  <si>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</si>
  <si>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</si>
  <si>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</si>
  <si>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</si>
  <si>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</si>
  <si>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</si>
  <si>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</si>
  <si>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</si>
  <si>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</si>
  <si>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</si>
  <si>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</si>
  <si>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</si>
  <si>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</si>
  <si>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</si>
  <si>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</si>
  <si>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</si>
  <si>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</si>
  <si>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</si>
  <si>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</si>
  <si>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</si>
  <si>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</si>
  <si>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</si>
  <si>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</si>
  <si>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</si>
  <si>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</si>
  <si>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</si>
  <si>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</si>
  <si>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</si>
  <si>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</si>
  <si>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</si>
  <si>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</si>
  <si>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</si>
  <si>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</si>
  <si>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</si>
  <si>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</si>
  <si>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</si>
  <si>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</si>
  <si>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</si>
  <si>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</si>
  <si>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</si>
  <si>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</si>
  <si>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</si>
  <si>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</si>
  <si>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</si>
  <si>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</si>
  <si>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</si>
  <si>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</si>
  <si>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</si>
  <si>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</si>
  <si>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</si>
  <si>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</si>
  <si>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</si>
  <si>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</si>
  <si>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</si>
  <si>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</si>
  <si>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</si>
  <si>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</si>
  <si>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</si>
  <si>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</si>
  <si>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</si>
  <si>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</si>
  <si>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</si>
  <si>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</si>
  <si>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</si>
  <si>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</si>
  <si>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</si>
  <si>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</si>
  <si>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</si>
  <si>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</si>
  <si>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</si>
  <si>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</si>
  <si>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</si>
  <si>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</si>
  <si>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</si>
  <si>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</si>
  <si>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</si>
  <si>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</si>
  <si>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</si>
  <si>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</si>
  <si>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</si>
  <si>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</si>
  <si>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</si>
  <si>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</si>
  <si>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</si>
  <si>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</si>
  <si>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</si>
  <si>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</si>
  <si>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</si>
  <si>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</si>
  <si>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</si>
  <si>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</si>
  <si>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</si>
  <si>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</si>
  <si>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</si>
  <si>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</si>
  <si>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</si>
  <si>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</si>
  <si>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</si>
  <si>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</si>
  <si>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</si>
  <si>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</si>
  <si>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</si>
  <si>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</si>
  <si>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</si>
  <si>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</si>
  <si>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</si>
  <si>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</si>
  <si>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</si>
  <si>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</si>
  <si>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</si>
  <si>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</si>
  <si>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</si>
  <si>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</si>
  <si>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</si>
  <si>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</si>
  <si>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</si>
  <si>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</si>
  <si>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</si>
  <si>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</si>
  <si>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</si>
  <si>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</si>
  <si>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</si>
  <si>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</si>
  <si>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</si>
  <si>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</si>
  <si>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</si>
  <si>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</si>
  <si>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</si>
  <si>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</si>
  <si>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</si>
  <si>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</si>
  <si>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</si>
  <si>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</si>
  <si>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</si>
  <si>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</si>
  <si>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</si>
  <si>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</si>
  <si>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</si>
  <si>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</si>
  <si>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</si>
  <si>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</si>
  <si>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</si>
  <si>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</si>
  <si>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</si>
  <si>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</si>
  <si>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</si>
  <si>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</si>
  <si>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</si>
  <si>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</si>
  <si>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</si>
  <si>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</si>
  <si>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</si>
  <si>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</si>
  <si>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</si>
  <si>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</si>
  <si>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</si>
  <si>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</si>
  <si>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</si>
  <si>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</si>
  <si>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</si>
  <si>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</si>
  <si>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</si>
  <si>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</si>
  <si>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</si>
  <si>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</si>
  <si>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</si>
  <si>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</si>
  <si>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</si>
  <si>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</si>
  <si>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</si>
  <si>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</si>
  <si>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</si>
  <si>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</si>
  <si>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</si>
  <si>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</si>
  <si>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</si>
  <si>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</si>
  <si>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</si>
  <si>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</si>
  <si>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</si>
  <si>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</si>
  <si>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</si>
  <si>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</si>
  <si>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</si>
  <si>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</si>
  <si>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</si>
  <si>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</si>
  <si>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</si>
  <si>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</si>
  <si>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</si>
  <si>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</si>
  <si>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</si>
  <si>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</si>
  <si>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</si>
  <si>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</si>
  <si>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</si>
  <si>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</si>
  <si>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</si>
  <si>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</si>
  <si>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</si>
  <si>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</si>
  <si>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</si>
  <si>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</si>
  <si>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</si>
  <si>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</si>
  <si>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</si>
  <si>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</si>
  <si>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</si>
  <si>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</si>
  <si>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</si>
  <si>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</si>
  <si>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</si>
  <si>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</si>
  <si>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</si>
  <si>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</si>
  <si>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</si>
  <si>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</si>
  <si>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</si>
  <si>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</si>
  <si>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</si>
  <si>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</si>
  <si>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</si>
  <si>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</si>
  <si>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</si>
  <si>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</si>
  <si>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</si>
  <si>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</si>
  <si>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</si>
  <si>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</si>
  <si>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</si>
  <si>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</si>
  <si>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</si>
  <si>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</si>
  <si>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</si>
  <si>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</si>
  <si>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</si>
  <si>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</si>
  <si>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</si>
  <si>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</si>
  <si>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</si>
  <si>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</si>
  <si>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</si>
  <si>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</si>
  <si>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</si>
  <si>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</si>
  <si>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</si>
  <si>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</si>
  <si>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</si>
  <si>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</si>
  <si>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</si>
  <si>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</si>
  <si>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</si>
  <si>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</si>
  <si>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</si>
  <si>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</si>
  <si>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</si>
  <si>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</si>
  <si>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</si>
  <si>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</si>
  <si>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</si>
  <si>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</si>
  <si>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</si>
  <si>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</si>
  <si>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</si>
  <si>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</si>
  <si>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</si>
  <si>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</si>
  <si>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</si>
  <si>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</si>
  <si>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</si>
  <si>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</si>
  <si>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</si>
  <si>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</si>
  <si>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</si>
  <si>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</si>
  <si>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</si>
  <si>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</si>
  <si>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</si>
  <si>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</si>
  <si>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</si>
  <si>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</si>
  <si>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</si>
  <si>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</si>
  <si>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</si>
  <si>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</si>
  <si>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</si>
  <si>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</si>
  <si>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</si>
  <si>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</si>
  <si>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</si>
  <si>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</si>
  <si>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</si>
  <si>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</si>
  <si>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</si>
  <si>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</si>
  <si>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</si>
  <si>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</si>
  <si>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</si>
  <si>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</si>
  <si>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</si>
  <si>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</si>
  <si>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</si>
  <si>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</si>
  <si>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</si>
  <si>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</si>
  <si>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</si>
  <si>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</si>
  <si>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</si>
  <si>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</si>
  <si>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</si>
  <si>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</si>
  <si>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</si>
  <si>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</si>
  <si>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</si>
  <si>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</si>
  <si>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</si>
  <si>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</si>
  <si>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</si>
  <si>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</si>
  <si>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</si>
  <si>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</si>
  <si>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</si>
  <si>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</si>
  <si>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</si>
  <si>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</si>
  <si>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</si>
  <si>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</si>
  <si>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</si>
  <si>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</si>
  <si>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</si>
  <si>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</si>
  <si>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</si>
  <si>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</si>
  <si>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</si>
  <si>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</si>
  <si>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</si>
  <si>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</si>
  <si>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</si>
  <si>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</si>
  <si>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</si>
  <si>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</si>
  <si>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</si>
  <si>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</si>
  <si>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</si>
  <si>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</si>
  <si>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</si>
  <si>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</si>
  <si>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</si>
  <si>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</si>
  <si>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</si>
  <si>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</si>
  <si>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</si>
  <si>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</si>
  <si>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</si>
  <si>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</si>
  <si>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</si>
  <si>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</si>
  <si>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</si>
  <si>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</si>
  <si>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</si>
  <si>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</si>
  <si>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</si>
  <si>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</si>
  <si>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</si>
  <si>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</si>
  <si>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</si>
  <si>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</si>
  <si>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</si>
  <si>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</si>
  <si>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</si>
  <si>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</si>
  <si>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</si>
  <si>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</si>
  <si>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</si>
  <si>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</si>
  <si>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</si>
  <si>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</si>
  <si>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</si>
  <si>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</si>
  <si>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</si>
  <si>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</si>
  <si>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</si>
  <si>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</si>
  <si>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</si>
  <si>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</si>
  <si>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</si>
  <si>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</si>
  <si>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</si>
  <si>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</si>
  <si>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</si>
  <si>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</si>
  <si>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</si>
  <si>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</si>
  <si>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</si>
  <si>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</si>
  <si>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</si>
  <si>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</si>
  <si>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</si>
  <si>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</si>
  <si>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</si>
  <si>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</si>
  <si>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</si>
  <si>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</si>
  <si>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</si>
  <si>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</si>
  <si>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</si>
  <si>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</si>
  <si>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</si>
  <si>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</si>
  <si>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</si>
  <si>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</si>
  <si>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</si>
  <si>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</si>
  <si>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</si>
  <si>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</si>
  <si>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</si>
  <si>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</si>
  <si>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</si>
  <si>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</si>
  <si>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</si>
  <si>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</si>
  <si>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</si>
  <si>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</si>
  <si>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</si>
  <si>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</si>
  <si>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</si>
  <si>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</si>
  <si>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</si>
  <si>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</si>
  <si>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</si>
  <si>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</si>
  <si>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</si>
  <si>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</si>
  <si>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</si>
  <si>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</si>
  <si>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</si>
  <si>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</si>
  <si>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</si>
  <si>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</si>
  <si>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</si>
  <si>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</si>
  <si>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</si>
  <si>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</si>
  <si>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</si>
  <si>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</si>
  <si>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</si>
  <si>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</si>
  <si>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</si>
  <si>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</si>
  <si>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</si>
  <si>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</si>
  <si>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</si>
  <si>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</si>
  <si>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</si>
  <si>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</si>
  <si>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</si>
  <si>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</si>
  <si>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</si>
  <si>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</si>
  <si>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</si>
  <si>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</si>
  <si>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</si>
  <si>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</si>
  <si>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</si>
  <si>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</si>
  <si>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</si>
  <si>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</si>
  <si>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</si>
  <si>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</si>
  <si>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</si>
  <si>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</si>
  <si>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</si>
  <si>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</si>
  <si>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</si>
  <si>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</si>
  <si>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</si>
  <si>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</si>
  <si>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</si>
  <si>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</si>
  <si>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</si>
  <si>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</si>
  <si>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</si>
  <si>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</si>
  <si>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</si>
  <si>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</si>
  <si>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</si>
  <si>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</si>
  <si>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</si>
  <si>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</si>
  <si>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</si>
  <si>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</si>
  <si>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</si>
  <si>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</si>
  <si>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</si>
  <si>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</si>
  <si>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</si>
  <si>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</si>
  <si>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</si>
  <si>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</si>
  <si>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</si>
  <si>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</si>
  <si>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</si>
  <si>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</si>
  <si>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</si>
  <si>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</si>
  <si>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</si>
  <si>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</si>
  <si>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</si>
  <si>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</si>
  <si>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</si>
  <si>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</si>
  <si>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</si>
  <si>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</si>
  <si>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</si>
  <si>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</si>
  <si>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</si>
  <si>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</si>
  <si>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</si>
  <si>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</si>
  <si>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</si>
  <si>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</si>
  <si>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</si>
  <si>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</si>
  <si>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</si>
  <si>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</si>
  <si>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</si>
  <si>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</si>
  <si>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</si>
  <si>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</si>
  <si>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</si>
  <si>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</si>
  <si>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</si>
  <si>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</si>
  <si>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</si>
  <si>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</si>
  <si>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</si>
  <si>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</si>
  <si>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</si>
  <si>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</si>
  <si>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</si>
  <si>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</si>
  <si>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</si>
  <si>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</si>
  <si>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</si>
  <si>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</si>
  <si>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</si>
  <si>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</si>
  <si>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</si>
  <si>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</si>
  <si>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</si>
  <si>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</si>
  <si>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</si>
  <si>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</si>
  <si>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</si>
  <si>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</si>
  <si>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</si>
  <si>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</si>
  <si>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</si>
  <si>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</si>
  <si>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</si>
  <si>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</si>
  <si>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</si>
  <si>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</si>
  <si>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</si>
  <si>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</si>
  <si>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</si>
  <si>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</si>
  <si>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</si>
  <si>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</si>
  <si>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</si>
  <si>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</si>
  <si>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</si>
  <si>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</si>
  <si>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</si>
  <si>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</si>
  <si>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</si>
  <si>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</si>
  <si>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</si>
  <si>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</si>
  <si>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</si>
  <si>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</si>
  <si>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</si>
  <si>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</si>
  <si>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</si>
  <si>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</si>
  <si>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</si>
  <si>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</si>
  <si>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</si>
  <si>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</si>
  <si>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</si>
  <si>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</si>
  <si>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</si>
  <si>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</si>
  <si>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</si>
  <si>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</si>
  <si>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</si>
  <si>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</si>
  <si>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</si>
  <si>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</si>
  <si>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</si>
  <si>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</si>
  <si>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</si>
  <si>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</si>
  <si>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</si>
  <si>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</si>
  <si>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</si>
  <si>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</si>
  <si>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</si>
  <si>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</si>
  <si>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</si>
  <si>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</si>
  <si>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</si>
  <si>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</si>
  <si>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</si>
  <si>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</si>
  <si>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</si>
  <si>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</si>
  <si>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</si>
  <si>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</si>
  <si>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</si>
  <si>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</si>
  <si>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</si>
  <si>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</si>
  <si>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</si>
  <si>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</si>
  <si>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</si>
  <si>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</si>
  <si>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</si>
  <si>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</si>
  <si>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</si>
  <si>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</si>
  <si>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</si>
  <si>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</si>
  <si>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</si>
  <si>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</si>
  <si>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</si>
  <si>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</si>
  <si>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</si>
  <si>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</si>
  <si>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</si>
  <si>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</si>
  <si>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</si>
  <si>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</si>
  <si>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</si>
  <si>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</si>
  <si>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</si>
  <si>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</si>
  <si>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</si>
  <si>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</si>
  <si>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</si>
  <si>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</si>
  <si>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</si>
  <si>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</si>
  <si>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</si>
  <si>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</si>
  <si>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</si>
  <si>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</si>
  <si>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</si>
  <si>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</si>
  <si>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</si>
  <si>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</si>
  <si>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</si>
  <si>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</si>
  <si>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</si>
  <si>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</si>
  <si>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</si>
  <si>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</si>
  <si>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</si>
  <si>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</si>
  <si>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</si>
  <si>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</si>
  <si>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</si>
  <si>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</si>
  <si>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</si>
  <si>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</si>
  <si>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</si>
  <si>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</si>
  <si>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</si>
  <si>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</si>
  <si>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</si>
  <si>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</si>
  <si>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</si>
  <si>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</si>
  <si>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</si>
  <si>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</si>
  <si>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</si>
  <si>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</si>
  <si>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</si>
  <si>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</si>
  <si>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</si>
  <si>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</si>
  <si>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</si>
  <si>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</si>
  <si>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</si>
  <si>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</si>
  <si>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</si>
  <si>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</si>
  <si>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</si>
  <si>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</si>
  <si>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</si>
  <si>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</si>
  <si>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</si>
  <si>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</si>
  <si>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</si>
  <si>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</si>
  <si>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</si>
  <si>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</si>
  <si>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</si>
  <si>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</si>
  <si>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</si>
  <si>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</si>
  <si>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</si>
  <si>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</si>
  <si>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</si>
  <si>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</si>
  <si>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</si>
  <si>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</si>
  <si>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</si>
  <si>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</si>
  <si>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</si>
  <si>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</si>
  <si>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</si>
  <si>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</si>
  <si>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</si>
  <si>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</si>
  <si>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</si>
  <si>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</si>
  <si>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</si>
  <si>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</si>
  <si>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</si>
  <si>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</si>
  <si>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</si>
  <si>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</si>
  <si>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</si>
  <si>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</si>
  <si>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</si>
  <si>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</si>
  <si>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</si>
  <si>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</si>
  <si>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</si>
  <si>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</si>
  <si>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</si>
  <si>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</si>
  <si>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</si>
  <si>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</si>
  <si>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</si>
  <si>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</si>
  <si>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</si>
  <si>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</si>
  <si>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</si>
  <si>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</si>
  <si>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</si>
  <si>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</si>
  <si>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</si>
  <si>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</si>
  <si>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</si>
  <si>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</si>
  <si>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</si>
  <si>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</si>
  <si>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</si>
  <si>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</si>
  <si>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</si>
  <si>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</si>
  <si>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</si>
  <si>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</si>
  <si>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</si>
  <si>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</si>
  <si>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</si>
  <si>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</si>
  <si>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</si>
  <si>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</si>
  <si>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</si>
  <si>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</si>
  <si>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</si>
  <si>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</si>
  <si>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</si>
  <si>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</si>
  <si>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</si>
  <si>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</si>
  <si>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</si>
  <si>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</si>
  <si>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</si>
  <si>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</si>
  <si>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</si>
  <si>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</si>
  <si>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</si>
  <si>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</si>
  <si>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</si>
  <si>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</si>
  <si>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</si>
  <si>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</si>
  <si>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</si>
  <si>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</si>
  <si>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</si>
  <si>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</si>
  <si>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</si>
  <si>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</si>
  <si>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</si>
  <si>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</si>
  <si>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</si>
  <si>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</si>
  <si>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</si>
  <si>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</si>
  <si>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</si>
  <si>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</si>
  <si>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</si>
  <si>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</si>
  <si>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</si>
  <si>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</si>
  <si>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</si>
  <si>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</si>
  <si>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</si>
  <si>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</si>
  <si>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</si>
  <si>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</si>
  <si>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</si>
  <si>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</si>
  <si>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</si>
  <si>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</si>
  <si>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</si>
  <si>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</si>
  <si>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</si>
  <si>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</si>
  <si>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</si>
  <si>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</si>
  <si>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</si>
  <si>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</si>
  <si>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</si>
  <si>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</si>
  <si>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</si>
  <si>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</si>
  <si>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</si>
  <si>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</si>
  <si>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</si>
  <si>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</si>
  <si>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</si>
  <si>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</si>
  <si>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</si>
  <si>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</si>
  <si>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</si>
  <si>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</si>
  <si>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</si>
  <si>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</si>
  <si>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</si>
  <si>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</si>
  <si>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</si>
  <si>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</si>
  <si>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</si>
  <si>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</si>
  <si>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</si>
  <si>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</si>
  <si>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</si>
  <si>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</si>
  <si>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</si>
  <si>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</si>
  <si>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</si>
  <si>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</si>
  <si>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</si>
  <si>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</si>
  <si>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</si>
  <si>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</si>
  <si>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</si>
  <si>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</si>
  <si>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</si>
  <si>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</si>
  <si>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</si>
  <si>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</si>
  <si>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</si>
  <si>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</si>
  <si>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</si>
  <si>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</si>
  <si>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</si>
  <si>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</si>
  <si>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</si>
  <si>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</si>
  <si>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</si>
  <si>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</si>
  <si>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</si>
  <si>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</si>
  <si>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</si>
  <si>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</si>
  <si>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</si>
  <si>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</si>
  <si>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</si>
  <si>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</si>
  <si>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</si>
  <si>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</si>
  <si>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</si>
  <si>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</si>
  <si>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</si>
  <si>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</si>
  <si>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</si>
  <si>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</si>
  <si>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</si>
  <si>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</si>
  <si>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</si>
  <si>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</si>
  <si>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</si>
  <si>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</si>
  <si>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</si>
  <si>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</si>
  <si>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</si>
  <si>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</si>
  <si>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</si>
  <si>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</si>
  <si>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</si>
  <si>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</si>
  <si>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</si>
  <si>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</si>
  <si>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</si>
  <si>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</si>
  <si>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</si>
  <si>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</si>
  <si>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</si>
  <si>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</si>
  <si>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</si>
  <si>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</si>
  <si>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</si>
  <si>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</si>
  <si>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</si>
  <si>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</si>
  <si>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</si>
  <si>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</si>
  <si>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</si>
  <si>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</si>
  <si>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</si>
  <si>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</si>
  <si>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</si>
  <si>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</si>
  <si>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</si>
  <si>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</si>
  <si>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</si>
  <si>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</si>
  <si>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</si>
  <si>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</si>
  <si>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</si>
  <si>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</si>
  <si>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</si>
  <si>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</si>
  <si>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</si>
  <si>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</si>
  <si>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</si>
  <si>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</si>
  <si>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</si>
  <si>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</si>
  <si>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</si>
  <si>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</si>
  <si>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</si>
  <si>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</si>
  <si>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</si>
  <si>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</si>
  <si>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</si>
  <si>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</si>
  <si>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</si>
  <si>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</si>
  <si>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</si>
  <si>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</si>
  <si>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</si>
  <si>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</si>
  <si>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</si>
  <si>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</si>
  <si>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</si>
  <si>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</si>
  <si>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</si>
  <si>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</si>
  <si>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</si>
  <si>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</si>
  <si>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</si>
  <si>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</si>
  <si>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</si>
  <si>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</si>
  <si>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</si>
  <si>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</si>
  <si>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</si>
  <si>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</si>
  <si>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</si>
  <si>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</si>
  <si>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</si>
  <si>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</si>
  <si>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</si>
  <si>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</si>
  <si>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</si>
  <si>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</si>
  <si>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</si>
  <si>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</si>
  <si>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</si>
  <si>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</si>
  <si>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</si>
  <si>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</si>
  <si>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</si>
  <si>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</si>
  <si>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</si>
  <si>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</si>
  <si>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</si>
  <si>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</si>
  <si>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</si>
  <si>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</si>
  <si>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</si>
  <si>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</si>
  <si>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</si>
  <si>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</si>
  <si>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</si>
  <si>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</si>
  <si>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</si>
  <si>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</si>
  <si>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</si>
  <si>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</si>
  <si>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</si>
  <si>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</si>
  <si>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</si>
  <si>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</si>
  <si>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</si>
  <si>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</si>
  <si>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</si>
  <si>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</si>
  <si>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</si>
  <si>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</si>
  <si>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</si>
  <si>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</si>
  <si>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</si>
  <si>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</si>
  <si>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</si>
  <si>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</si>
  <si>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</si>
  <si>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</si>
  <si>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</si>
  <si>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</si>
  <si>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</si>
  <si>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</si>
  <si>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</si>
  <si>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</si>
  <si>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</si>
  <si>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</si>
  <si>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</si>
  <si>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</si>
  <si>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</si>
  <si>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</si>
  <si>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</si>
  <si>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</si>
  <si>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</si>
  <si>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</si>
  <si>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</si>
  <si>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</si>
  <si>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</si>
  <si>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</si>
  <si>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</si>
  <si>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</si>
  <si>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</si>
  <si>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</si>
  <si>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</si>
  <si>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</si>
  <si>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</si>
  <si>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</si>
  <si>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</si>
  <si>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</si>
  <si>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</si>
  <si>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</si>
  <si>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</si>
  <si>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</si>
  <si>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</si>
  <si>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</si>
  <si>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</si>
  <si>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</si>
  <si>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</si>
  <si>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</si>
  <si>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</si>
  <si>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</si>
  <si>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</si>
  <si>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</si>
  <si>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</si>
  <si>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</si>
  <si>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</si>
  <si>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</si>
  <si>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</si>
  <si>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</si>
  <si>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</si>
  <si>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</si>
  <si>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</si>
  <si>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</si>
  <si>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</si>
  <si>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</si>
  <si>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</si>
  <si>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</si>
  <si>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</si>
  <si>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</si>
  <si>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</si>
  <si>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</si>
  <si>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</si>
  <si>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</si>
  <si>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</si>
  <si>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</si>
  <si>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</si>
  <si>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</si>
  <si>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</si>
  <si>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</si>
  <si>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</si>
  <si>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</si>
  <si>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</si>
  <si>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</si>
  <si>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</si>
  <si>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</si>
  <si>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</si>
  <si>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</si>
  <si>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</si>
  <si>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</si>
  <si>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</si>
  <si>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</si>
  <si>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</si>
  <si>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</si>
  <si>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</si>
  <si>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</si>
  <si>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</si>
  <si>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</si>
  <si>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</si>
  <si>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</si>
  <si>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</si>
  <si>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</si>
  <si>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</si>
  <si>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</si>
  <si>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</si>
  <si>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</si>
  <si>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</si>
  <si>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</si>
  <si>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</si>
  <si>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</si>
  <si>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</si>
  <si>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</si>
  <si>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</si>
  <si>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</si>
  <si>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</si>
  <si>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</si>
  <si>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</si>
  <si>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</si>
  <si>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</si>
  <si>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</si>
  <si>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</si>
  <si>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</si>
  <si>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</si>
  <si>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</si>
  <si>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</si>
  <si>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</si>
  <si>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</si>
  <si>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</si>
  <si>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</si>
  <si>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</si>
  <si>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</si>
  <si>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</si>
  <si>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</si>
  <si>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</si>
  <si>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</si>
  <si>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</si>
  <si>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</si>
  <si>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</si>
  <si>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</si>
  <si>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</si>
  <si>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</si>
  <si>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</si>
  <si>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</si>
  <si>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</si>
  <si>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</si>
  <si>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</si>
  <si>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</si>
  <si>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</si>
  <si>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</si>
  <si>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</si>
  <si>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</si>
  <si>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</si>
  <si>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</si>
  <si>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</si>
  <si>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</si>
  <si>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</si>
  <si>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</si>
  <si>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</si>
  <si>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</si>
  <si>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</si>
  <si>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</si>
  <si>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</si>
  <si>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</si>
  <si>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</si>
  <si>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</si>
  <si>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</si>
  <si>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</si>
  <si>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</si>
  <si>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</si>
  <si>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</si>
  <si>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</si>
  <si>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</si>
  <si>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</si>
  <si>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</si>
  <si>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</si>
  <si>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</si>
  <si>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</si>
  <si>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</si>
  <si>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</si>
  <si>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</si>
  <si>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</si>
  <si>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</si>
  <si>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</si>
  <si>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</si>
  <si>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</si>
  <si>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</si>
  <si>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</si>
  <si>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</si>
  <si>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</si>
  <si>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</si>
  <si>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</si>
  <si>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</si>
  <si>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</si>
  <si>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</si>
  <si>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</si>
  <si>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</si>
  <si>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</si>
  <si>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</si>
  <si>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</si>
  <si>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</si>
  <si>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</si>
  <si>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</si>
  <si>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</si>
  <si>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</si>
  <si>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</si>
  <si>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</si>
  <si>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</si>
  <si>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</si>
  <si>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</si>
  <si>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</si>
  <si>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</si>
  <si>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</si>
  <si>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</si>
  <si>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</si>
  <si>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</si>
  <si>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</si>
  <si>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</si>
  <si>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</si>
  <si>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</si>
  <si>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</si>
  <si>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</si>
  <si>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</si>
  <si>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</si>
  <si>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</si>
  <si>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</si>
  <si>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</si>
  <si>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</si>
  <si>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</si>
  <si>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</si>
  <si>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</si>
  <si>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</si>
  <si>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</si>
  <si>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</si>
  <si>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</si>
  <si>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</si>
  <si>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</si>
  <si>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</si>
  <si>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</si>
  <si>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</si>
  <si>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</si>
  <si>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</si>
  <si>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</si>
  <si>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</si>
  <si>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</si>
  <si>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</si>
  <si>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</si>
  <si>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</si>
  <si>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</si>
  <si>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</si>
  <si>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</si>
  <si>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</si>
  <si>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</si>
  <si>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</si>
  <si>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</si>
  <si>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</si>
  <si>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</si>
  <si>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</si>
  <si>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</si>
  <si>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</si>
  <si>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</si>
  <si>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</si>
  <si>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</si>
  <si>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</si>
  <si>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</si>
  <si>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</si>
  <si>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</si>
  <si>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</si>
  <si>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</si>
  <si>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</si>
  <si>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</si>
  <si>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</si>
  <si>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</si>
  <si>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</si>
  <si>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</si>
  <si>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</si>
  <si>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</si>
  <si>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</si>
  <si>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</si>
  <si>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</si>
  <si>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</si>
  <si>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</si>
  <si>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</si>
  <si>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</si>
  <si>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</si>
  <si>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</si>
  <si>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</si>
  <si>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</si>
  <si>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</si>
  <si>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</si>
  <si>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</si>
  <si>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</si>
  <si>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</si>
  <si>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</si>
  <si>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</si>
  <si>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</si>
  <si>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</si>
  <si>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</si>
  <si>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</si>
  <si>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</si>
  <si>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</si>
  <si>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</si>
  <si>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</si>
  <si>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</si>
  <si>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</si>
  <si>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</si>
  <si>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</si>
  <si>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</si>
  <si>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</si>
  <si>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</si>
  <si>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</si>
  <si>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</si>
  <si>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</si>
  <si>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</si>
  <si>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</si>
  <si>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</si>
  <si>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</si>
  <si>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</si>
  <si>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</si>
  <si>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</si>
  <si>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</si>
  <si>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</si>
  <si>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</si>
  <si>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</si>
  <si>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</si>
  <si>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</si>
  <si>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</si>
  <si>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</si>
  <si>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</si>
  <si>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</si>
  <si>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</si>
  <si>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</si>
  <si>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</si>
  <si>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</si>
  <si>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</si>
  <si>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</si>
  <si>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</si>
  <si>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</si>
  <si>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</si>
  <si>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</si>
  <si>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</si>
  <si>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</si>
  <si>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</si>
  <si>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</si>
  <si>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</si>
  <si>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</si>
  <si>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</si>
  <si>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</si>
  <si>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</si>
  <si>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</si>
  <si>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</si>
  <si>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</si>
  <si>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</si>
  <si>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</si>
  <si>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</si>
  <si>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</si>
  <si>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</si>
  <si>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</si>
  <si>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</si>
  <si>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</si>
  <si>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</si>
  <si>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</si>
  <si>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</si>
  <si>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</si>
  <si>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</si>
  <si>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</si>
  <si>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</si>
  <si>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</si>
  <si>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</si>
  <si>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</si>
  <si>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</si>
  <si>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</si>
  <si>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</si>
  <si>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</si>
  <si>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</si>
  <si>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</si>
  <si>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</si>
  <si>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</si>
  <si>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</si>
  <si>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</si>
  <si>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</si>
  <si>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</si>
  <si>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</si>
  <si>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</si>
  <si>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</si>
  <si>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</si>
  <si>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</si>
  <si>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</si>
  <si>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</si>
  <si>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</si>
  <si>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</si>
  <si>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</si>
  <si>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</si>
  <si>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</si>
  <si>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</si>
  <si>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</si>
  <si>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</si>
  <si>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</si>
  <si>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</si>
  <si>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</si>
  <si>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</si>
  <si>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</si>
  <si>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</si>
  <si>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</si>
  <si>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</si>
  <si>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</si>
  <si>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</si>
  <si>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</si>
  <si>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</si>
  <si>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</si>
  <si>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</si>
  <si>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</si>
  <si>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</si>
  <si>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</si>
  <si>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</si>
  <si>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</si>
  <si>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</si>
  <si>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</si>
  <si>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</si>
  <si>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</si>
  <si>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</si>
  <si>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</si>
  <si>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</si>
  <si>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</si>
  <si>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</si>
  <si>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</si>
  <si>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</si>
  <si>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</si>
  <si>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</si>
  <si>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</si>
  <si>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</si>
  <si>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</si>
  <si>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</si>
  <si>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</si>
  <si>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</si>
  <si>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</si>
  <si>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</si>
  <si>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</si>
  <si>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</si>
  <si>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</si>
  <si>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</si>
  <si>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</si>
  <si>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</si>
  <si>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</si>
  <si>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</si>
  <si>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</si>
  <si>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</si>
  <si>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</si>
  <si>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</si>
  <si>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</si>
  <si>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</si>
  <si>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</si>
  <si>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</si>
  <si>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</si>
  <si>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</si>
  <si>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</si>
  <si>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</si>
  <si>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</si>
  <si>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</si>
  <si>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</si>
  <si>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</si>
  <si>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</si>
  <si>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</si>
  <si>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</si>
  <si>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</si>
  <si>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</si>
  <si>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</si>
  <si>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</si>
  <si>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</si>
  <si>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</si>
  <si>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</si>
  <si>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</si>
  <si>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</si>
  <si>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</si>
  <si>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</si>
  <si>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</si>
  <si>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</si>
  <si>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</si>
  <si>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</si>
  <si>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</si>
  <si>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</si>
  <si>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</si>
  <si>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</si>
  <si>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</si>
  <si>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</si>
  <si>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</si>
  <si>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</si>
  <si>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</si>
  <si>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</si>
  <si>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</si>
  <si>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</si>
  <si>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</si>
  <si>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</si>
  <si>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</si>
  <si>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</si>
  <si>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</si>
  <si>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</si>
  <si>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</si>
  <si>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</si>
  <si>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</si>
  <si>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</si>
  <si>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</si>
  <si>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</si>
  <si>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</si>
  <si>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</si>
  <si>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</si>
  <si>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</si>
  <si>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</si>
  <si>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</si>
  <si>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</si>
  <si>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</si>
  <si>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</si>
  <si>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</si>
  <si>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</si>
  <si>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</si>
  <si>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</si>
  <si>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</si>
  <si>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</si>
  <si>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</si>
  <si>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</si>
  <si>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</si>
  <si>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</si>
  <si>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</si>
  <si>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</si>
  <si>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</si>
  <si>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</si>
  <si>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</si>
  <si>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</si>
  <si>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</si>
  <si>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</si>
  <si>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</si>
  <si>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</si>
  <si>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</si>
  <si>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</si>
  <si>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</si>
  <si>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</si>
  <si>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</si>
  <si>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</si>
  <si>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</si>
  <si>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</si>
  <si>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</si>
  <si>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</si>
  <si>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</si>
  <si>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</si>
  <si>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</si>
  <si>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</si>
  <si>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</si>
  <si>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</si>
  <si>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</si>
  <si>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</si>
  <si>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</si>
  <si>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</si>
  <si>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</si>
  <si>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</si>
  <si>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</si>
  <si>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</si>
  <si>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</si>
  <si>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</si>
  <si>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</si>
  <si>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</si>
  <si>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</si>
  <si>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</si>
  <si>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</si>
  <si>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</si>
  <si>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</si>
  <si>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</si>
  <si>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</si>
  <si>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</si>
  <si>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</si>
  <si>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</si>
  <si>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</si>
  <si>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</si>
  <si>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</si>
  <si>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</si>
  <si>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</si>
  <si>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</si>
  <si>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</si>
  <si>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</si>
  <si>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</si>
  <si>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</si>
  <si>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</si>
  <si>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</si>
  <si>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</si>
  <si>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</si>
  <si>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</si>
  <si>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</si>
  <si>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</si>
  <si>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</si>
  <si>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</si>
  <si>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</si>
  <si>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</si>
  <si>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</si>
  <si>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</si>
  <si>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</si>
  <si>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</si>
  <si>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</si>
  <si>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</si>
  <si>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</si>
  <si>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</si>
  <si>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</si>
  <si>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</si>
  <si>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</si>
  <si>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</si>
  <si>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</si>
  <si>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</si>
  <si>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</si>
  <si>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</si>
  <si>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</si>
  <si>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</si>
  <si>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</si>
  <si>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</si>
  <si>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</si>
  <si>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</si>
  <si>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</si>
  <si>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</si>
  <si>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</si>
  <si>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</si>
  <si>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</si>
  <si>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</si>
  <si>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</si>
  <si>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</si>
  <si>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</si>
  <si>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</si>
  <si>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</si>
  <si>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</si>
  <si>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</si>
  <si>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</si>
  <si>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</si>
  <si>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</si>
  <si>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</si>
  <si>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</si>
  <si>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</si>
  <si>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</si>
  <si>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</si>
  <si>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</si>
  <si>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</si>
  <si>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</si>
  <si>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</si>
  <si>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</si>
  <si>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</si>
  <si>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</si>
  <si>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</si>
  <si>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</si>
  <si>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</si>
  <si>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</si>
  <si>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</si>
  <si>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</si>
  <si>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</si>
  <si>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</si>
  <si>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</si>
  <si>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</si>
  <si>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</si>
  <si>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</si>
  <si>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</si>
  <si>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</si>
  <si>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</si>
  <si>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</si>
  <si>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</si>
  <si>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</si>
  <si>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</si>
  <si>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</si>
  <si>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</si>
  <si>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</si>
  <si>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</si>
  <si>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</si>
  <si>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</si>
  <si>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</si>
  <si>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</si>
  <si>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</si>
  <si>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</si>
  <si>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</si>
  <si>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</si>
  <si>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</si>
  <si>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</si>
  <si>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</si>
  <si>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</si>
  <si>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</si>
  <si>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</si>
  <si>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</si>
  <si>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</si>
  <si>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</si>
  <si>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</si>
  <si>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</si>
  <si>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</si>
  <si>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</si>
  <si>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</si>
  <si>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</si>
  <si>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</si>
  <si>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</si>
  <si>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</si>
  <si>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</si>
  <si>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</si>
  <si>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</si>
  <si>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</si>
  <si>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</si>
  <si>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</si>
  <si>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</si>
  <si>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</si>
  <si>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</si>
  <si>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</si>
  <si>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</si>
  <si>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</si>
  <si>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</si>
  <si>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</si>
  <si>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</si>
  <si>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</si>
  <si>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</si>
  <si>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</si>
  <si>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</si>
  <si>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</si>
  <si>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</si>
  <si>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</si>
  <si>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</si>
  <si>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</si>
  <si>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</si>
  <si>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</si>
  <si>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</si>
  <si>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</si>
  <si>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</si>
  <si>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</si>
  <si>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</si>
  <si>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</si>
  <si>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</si>
  <si>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</si>
  <si>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</si>
  <si>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</si>
  <si>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</si>
  <si>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</si>
  <si>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</si>
  <si>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</si>
  <si>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</si>
  <si>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</si>
  <si>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</si>
  <si>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</si>
  <si>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</si>
  <si>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</si>
  <si>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</si>
  <si>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</si>
  <si>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</si>
  <si>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</si>
  <si>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</si>
  <si>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</si>
  <si>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</si>
  <si>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</si>
  <si>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</si>
  <si>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</si>
  <si>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</si>
  <si>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</si>
  <si>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</si>
  <si>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</si>
  <si>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</si>
  <si>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</si>
  <si>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</si>
  <si>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</si>
  <si>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</si>
  <si>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</si>
  <si>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</si>
  <si>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</si>
  <si>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</si>
  <si>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</si>
  <si>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</si>
  <si>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</si>
  <si>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</si>
  <si>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</si>
  <si>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</si>
  <si>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</si>
  <si>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</si>
  <si>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</si>
  <si>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</si>
  <si>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</si>
  <si>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</si>
  <si>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</si>
  <si>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</si>
  <si>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</si>
  <si>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</si>
  <si>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</si>
  <si>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</si>
  <si>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</si>
  <si>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</si>
  <si>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</si>
  <si>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</si>
  <si>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</si>
  <si>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</si>
  <si>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</si>
  <si>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</si>
  <si>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</si>
  <si>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</si>
  <si>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</si>
  <si>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</si>
  <si>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</si>
  <si>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</si>
  <si>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</si>
  <si>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</si>
  <si>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</si>
  <si>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</si>
  <si>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</si>
  <si>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</si>
  <si>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</si>
  <si>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</si>
  <si>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</si>
  <si>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</si>
  <si>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</si>
  <si>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</si>
  <si>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</si>
  <si>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</si>
  <si>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</si>
  <si>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</si>
  <si>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</si>
  <si>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</si>
  <si>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</si>
  <si>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</si>
  <si>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</si>
  <si>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</si>
  <si>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</si>
  <si>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</si>
  <si>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</si>
  <si>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</si>
  <si>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</si>
  <si>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</si>
  <si>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</si>
  <si>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</si>
  <si>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</si>
  <si>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</si>
  <si>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</si>
  <si>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</si>
  <si>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</si>
  <si>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</si>
  <si>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</si>
  <si>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</si>
  <si>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</si>
  <si>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</si>
  <si>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</si>
  <si>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</si>
  <si>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</si>
  <si>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</si>
  <si>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</si>
  <si>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</si>
  <si>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</si>
  <si>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</si>
  <si>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</si>
  <si>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</si>
  <si>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</si>
  <si>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</si>
  <si>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</si>
  <si>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</si>
  <si>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</si>
  <si>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</si>
  <si>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</si>
  <si>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</si>
  <si>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</si>
  <si>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</si>
  <si>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</si>
  <si>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</si>
  <si>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</si>
  <si>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</si>
  <si>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</si>
  <si>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</si>
  <si>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</si>
  <si>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</si>
  <si>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</si>
  <si>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</si>
  <si>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</si>
  <si>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</si>
  <si>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</si>
  <si>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</si>
  <si>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</si>
  <si>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</si>
  <si>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</si>
  <si>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</si>
  <si>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</si>
  <si>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</si>
  <si>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</si>
  <si>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</si>
  <si>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</si>
  <si>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</si>
  <si>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</si>
  <si>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</si>
  <si>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</si>
  <si>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</si>
  <si>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</si>
  <si>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</si>
  <si>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</si>
  <si>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</si>
  <si>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</si>
  <si>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</si>
  <si>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</si>
  <si>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</si>
  <si>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</si>
  <si>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</si>
  <si>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</si>
  <si>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</si>
  <si>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</si>
  <si>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</si>
  <si>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</si>
  <si>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</si>
  <si>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</si>
  <si>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</si>
  <si>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</si>
  <si>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</si>
  <si>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</si>
  <si>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</si>
  <si>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</si>
  <si>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</si>
  <si>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</si>
  <si>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</si>
  <si>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</si>
  <si>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</si>
  <si>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</si>
  <si>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</si>
  <si>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</si>
  <si>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</si>
  <si>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</si>
  <si>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</si>
  <si>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</si>
  <si>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</si>
  <si>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</si>
  <si>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</si>
  <si>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</si>
  <si>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</si>
  <si>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</si>
  <si>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</si>
  <si>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</si>
  <si>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</si>
  <si>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</si>
  <si>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</si>
  <si>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</si>
  <si>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</si>
  <si>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</si>
  <si>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</si>
  <si>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</si>
  <si>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</si>
  <si>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</si>
  <si>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</si>
  <si>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</si>
  <si>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</si>
  <si>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</si>
  <si>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</si>
  <si>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</si>
  <si>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</si>
  <si>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</si>
  <si>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</si>
  <si>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</si>
  <si>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</si>
  <si>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</si>
  <si>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</si>
  <si>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</si>
  <si>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</si>
  <si>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</si>
  <si>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</si>
  <si>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</si>
  <si>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</si>
  <si>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</si>
  <si>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</si>
  <si>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</si>
  <si>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</si>
  <si>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</si>
  <si>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</si>
  <si>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</si>
  <si>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</si>
  <si>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</si>
  <si>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</si>
  <si>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</si>
  <si>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</si>
  <si>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</si>
  <si>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</si>
  <si>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</si>
  <si>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</si>
  <si>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</si>
  <si>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</si>
  <si>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</si>
  <si>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</si>
  <si>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</si>
  <si>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</si>
  <si>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</si>
  <si>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</si>
  <si>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</si>
  <si>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</si>
  <si>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</si>
  <si>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</si>
  <si>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</si>
  <si>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</si>
  <si>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</si>
  <si>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</si>
  <si>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</si>
  <si>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</si>
  <si>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</si>
  <si>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</si>
  <si>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</si>
  <si>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</si>
  <si>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</si>
  <si>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</si>
  <si>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</si>
  <si>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</si>
  <si>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</si>
  <si>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</si>
  <si>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</si>
  <si>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</si>
  <si>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</si>
  <si>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</si>
  <si>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</si>
  <si>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</si>
  <si>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</si>
  <si>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</si>
  <si>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</si>
  <si>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</si>
  <si>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</si>
  <si>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</si>
  <si>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</si>
  <si>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</si>
  <si>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</si>
  <si>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</si>
  <si>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</si>
  <si>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</si>
  <si>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</si>
  <si>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</si>
  <si>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</si>
  <si>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</si>
  <si>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</si>
  <si>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</si>
  <si>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</si>
  <si>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</si>
  <si>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</si>
  <si>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</si>
  <si>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</si>
  <si>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</si>
  <si>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</si>
  <si>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</si>
  <si>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</si>
  <si>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</si>
  <si>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</si>
  <si>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</si>
  <si>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</si>
  <si>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</si>
  <si>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</si>
  <si>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</si>
  <si>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</si>
  <si>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</si>
  <si>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</si>
  <si>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</si>
  <si>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</si>
  <si>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</si>
  <si>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</si>
  <si>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</si>
  <si>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</si>
  <si>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</si>
  <si>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</si>
  <si>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</si>
  <si>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</si>
  <si>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</si>
  <si>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</si>
  <si>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</si>
  <si>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</si>
  <si>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</si>
  <si>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</si>
  <si>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</si>
  <si>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</si>
  <si>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</si>
  <si>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</si>
  <si>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</si>
  <si>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</si>
  <si>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</si>
  <si>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</si>
  <si>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</si>
  <si>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</si>
  <si>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</si>
  <si>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</si>
  <si>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</si>
  <si>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</si>
  <si>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</si>
  <si>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</si>
  <si>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</si>
  <si>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</si>
  <si>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</si>
  <si>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</si>
  <si>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</si>
  <si>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</si>
  <si>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</si>
  <si>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</si>
  <si>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</si>
  <si>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</si>
  <si>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</si>
  <si>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</si>
  <si>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</si>
  <si>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</si>
  <si>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</si>
  <si>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</si>
  <si>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</si>
  <si>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</si>
  <si>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</si>
  <si>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</si>
  <si>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</si>
  <si>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</si>
  <si>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</si>
  <si>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</si>
  <si>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</si>
  <si>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</si>
  <si>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</si>
  <si>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</si>
  <si>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</si>
  <si>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</si>
  <si>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</si>
  <si>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</si>
  <si>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</si>
  <si>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</si>
  <si>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</si>
  <si>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</si>
  <si>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</si>
  <si>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</si>
  <si>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</si>
  <si>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</si>
  <si>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</si>
  <si>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</si>
  <si>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</si>
  <si>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</si>
  <si>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</si>
  <si>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</si>
  <si>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</si>
  <si>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</si>
  <si>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</si>
  <si>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</si>
  <si>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</si>
  <si>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</si>
  <si>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</si>
  <si>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</si>
  <si>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</si>
  <si>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</si>
  <si>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</si>
  <si>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</si>
  <si>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</si>
  <si>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</si>
  <si>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</si>
  <si>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</si>
  <si>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</si>
  <si>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</si>
  <si>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</si>
  <si>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</si>
  <si>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</si>
  <si>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</si>
  <si>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</si>
  <si>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</si>
  <si>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</si>
  <si>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</si>
  <si>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</si>
  <si>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</si>
  <si>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</si>
  <si>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</si>
  <si>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</si>
  <si>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</si>
  <si>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</si>
  <si>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</si>
  <si>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</si>
  <si>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</si>
  <si>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</si>
  <si>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</si>
  <si>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</si>
  <si>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</si>
  <si>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</si>
  <si>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</si>
  <si>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</si>
  <si>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</si>
  <si>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</si>
  <si>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</si>
  <si>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</si>
  <si>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</si>
  <si>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</si>
  <si>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</si>
  <si>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</si>
  <si>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</si>
  <si>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</si>
  <si>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</si>
  <si>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</si>
  <si>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</si>
  <si>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</si>
  <si>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</si>
  <si>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</si>
  <si>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</si>
  <si>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</si>
  <si>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</si>
  <si>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</si>
  <si>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</si>
  <si>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</si>
  <si>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</si>
  <si>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</si>
  <si>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</si>
  <si>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</si>
  <si>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</si>
  <si>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</si>
  <si>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</si>
  <si>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</si>
  <si>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</si>
  <si>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</si>
  <si>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</si>
  <si>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</si>
  <si>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</si>
  <si>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</si>
  <si>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</si>
  <si>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</si>
  <si>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</si>
  <si>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</si>
  <si>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</si>
  <si>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</si>
  <si>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</si>
  <si>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</si>
  <si>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</si>
  <si>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</si>
  <si>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</si>
  <si>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</si>
  <si>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</si>
  <si>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</si>
  <si>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</si>
  <si>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</si>
  <si>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</si>
  <si>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</si>
  <si>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</si>
  <si>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</si>
  <si>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</si>
  <si>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</si>
  <si>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</si>
  <si>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</si>
  <si>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</si>
  <si>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</si>
  <si>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</si>
  <si>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</si>
  <si>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</si>
  <si>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</si>
  <si>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</si>
  <si>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</si>
  <si>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</si>
  <si>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</si>
  <si>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</si>
  <si>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</si>
  <si>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</si>
  <si>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</si>
  <si>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</si>
  <si>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</si>
  <si>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</si>
  <si>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</si>
  <si>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</si>
  <si>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</si>
  <si>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</si>
  <si>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</si>
  <si>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</si>
  <si>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</si>
  <si>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</si>
  <si>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</si>
  <si>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</si>
  <si>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</si>
  <si>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</si>
  <si>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</si>
  <si>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</si>
  <si>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</si>
  <si>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</si>
  <si>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</si>
  <si>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</si>
  <si>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</si>
  <si>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</si>
  <si>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</si>
  <si>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</si>
  <si>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</si>
  <si>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</si>
  <si>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</si>
  <si>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</si>
  <si>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</si>
  <si>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</si>
  <si>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</si>
  <si>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</si>
  <si>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</si>
  <si>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</si>
  <si>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</si>
  <si>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</si>
  <si>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</si>
  <si>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</si>
  <si>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</si>
  <si>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</si>
  <si>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</si>
  <si>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</si>
  <si>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</si>
  <si>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</si>
  <si>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</si>
  <si>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</si>
  <si>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</si>
  <si>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</si>
  <si>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</si>
  <si>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</si>
  <si>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</si>
  <si>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</si>
  <si>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</si>
  <si>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</si>
  <si>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</si>
  <si>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</si>
  <si>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</si>
  <si>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</si>
  <si>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</si>
  <si>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</si>
  <si>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</si>
  <si>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</si>
  <si>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</si>
  <si>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</si>
  <si>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</si>
  <si>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</si>
  <si>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</si>
  <si>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</si>
  <si>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</si>
  <si>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</si>
  <si>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</si>
  <si>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</si>
  <si>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</si>
  <si>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</si>
  <si>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</si>
  <si>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</si>
  <si>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</si>
  <si>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</si>
  <si>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</si>
  <si>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</si>
  <si>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</si>
  <si>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</si>
  <si>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</si>
  <si>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</si>
  <si>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</si>
  <si>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</si>
  <si>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</si>
  <si>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</si>
  <si>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</si>
  <si>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</si>
  <si>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</si>
  <si>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</si>
  <si>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</si>
  <si>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</si>
  <si>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</si>
  <si>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</si>
  <si>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</si>
  <si>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</si>
  <si>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</si>
  <si>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</si>
  <si>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</si>
  <si>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بدهی بابت اعتبار 20 میلیونی به مهدی 8/10/1399</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</si>
  <si>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</si>
  <si>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</si>
  <si>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</si>
  <si>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</si>
  <si>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</si>
  <si>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</si>
  <si>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</si>
  <si>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</si>
  <si>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</si>
  <si>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</si>
  <si>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</si>
  <si>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</si>
  <si>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</si>
  <si>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</si>
  <si>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806229 تا 1285</t>
  </si>
  <si>
    <t>وغدیر 58152 تا 1171</t>
  </si>
  <si>
    <t>پارس 851 تا 16861.1</t>
  </si>
  <si>
    <t>وغدیر 46201 تا 1170</t>
  </si>
  <si>
    <t>وغدیر 42424 تا 1165</t>
  </si>
  <si>
    <t>بدهی به رضا 2 عدد سکه 16/10/1399</t>
  </si>
  <si>
    <t>17/10/1399</t>
  </si>
  <si>
    <t>وغدیر 16387 تا 1109</t>
  </si>
  <si>
    <t>پارس 1724 تا 16220</t>
  </si>
  <si>
    <t>a48899660-357315420</t>
  </si>
  <si>
    <t>IR530630105170204889966015</t>
  </si>
  <si>
    <t>20/10/1399</t>
  </si>
  <si>
    <t>21/10/1399</t>
  </si>
  <si>
    <t>18/10/1399</t>
  </si>
  <si>
    <t>8/11/1399</t>
  </si>
  <si>
    <t>12/11/1399</t>
  </si>
  <si>
    <t>وغدیر 1804 تا 1198</t>
  </si>
  <si>
    <t>پارس 57 تا 13029</t>
  </si>
  <si>
    <t>14/11/1399</t>
  </si>
  <si>
    <t>پارس 1 تا 13001</t>
  </si>
  <si>
    <t>15/11/1399</t>
  </si>
  <si>
    <t>18/11/1399</t>
  </si>
  <si>
    <t>وغدیر 182825 تا 1057</t>
  </si>
  <si>
    <t>20/11/1399</t>
  </si>
  <si>
    <t>23/11/1399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</si>
</sst>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2"/>
  <sheetViews>
    <sheetView tabSelected="1" topLeftCell="A92" zoomScale="70" zoomScaleNormal="70" workbookViewId="0">
      <selection activeCell="E97" sqref="E97"/>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5367</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5368</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5370</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5369</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5088</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5089</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5094</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5103</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5139</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5422</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5422</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5427</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5428</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5438</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5440</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5433</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5433</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5433</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5815</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5829</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5829</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C112</f>
        <v>20400</v>
      </c>
      <c r="D92" s="287">
        <v>1</v>
      </c>
      <c r="E92" s="60" t="s">
        <v>4358</v>
      </c>
      <c r="F92" s="49">
        <f>C113</f>
        <v>13275.6</v>
      </c>
      <c r="G92" s="60">
        <f>C92*D92*0.99114/(F92*1.0037158)</f>
        <v>1.5174006015359456</v>
      </c>
      <c r="H92" s="205">
        <f>C92/F92</f>
        <v>1.5366537105667539</v>
      </c>
      <c r="I92" s="317">
        <f>F92/C92</f>
        <v>0.65076470588235291</v>
      </c>
      <c r="J92" s="20"/>
      <c r="K92" s="20">
        <f>H92/H89</f>
        <v>1.1587704950061481</v>
      </c>
      <c r="L92" s="20">
        <f>(1/K92-1.0256)*100</f>
        <v>-16.26163424857533</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5771</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5418</v>
      </c>
      <c r="W94" s="67" t="s">
        <v>1220</v>
      </c>
      <c r="X94" s="67" t="s">
        <v>926</v>
      </c>
      <c r="Y94" s="67" t="s">
        <v>5435</v>
      </c>
    </row>
    <row r="95" spans="1:25">
      <c r="A95" s="60" t="s">
        <v>5836</v>
      </c>
      <c r="B95" s="60" t="s">
        <v>4358</v>
      </c>
      <c r="C95" s="49">
        <v>16700</v>
      </c>
      <c r="D95" s="23">
        <v>977</v>
      </c>
      <c r="E95" s="289" t="s">
        <v>4220</v>
      </c>
      <c r="F95" s="291">
        <v>1237</v>
      </c>
      <c r="G95" s="289">
        <f t="shared" ref="G95:G98" si="20">C95*D95*0.99114/(F95*1.0037158)</f>
        <v>13024.635497574944</v>
      </c>
      <c r="H95" s="290">
        <f t="shared" ref="H95:H98" si="21">C95/F95</f>
        <v>13.500404203718674</v>
      </c>
      <c r="I95" s="301">
        <f t="shared" ref="I95:I98" si="22">F95/C95</f>
        <v>7.4071856287425145E-2</v>
      </c>
      <c r="J95" s="20"/>
      <c r="K95" s="20">
        <f>H95/H94</f>
        <v>1.0359381669107832</v>
      </c>
      <c r="L95" s="20"/>
      <c r="M95" s="20"/>
      <c r="N95" s="20"/>
      <c r="O95" s="94"/>
      <c r="P95" s="94"/>
      <c r="Q95" s="94"/>
      <c r="R95" s="97"/>
      <c r="S95" s="97" t="s">
        <v>4362</v>
      </c>
      <c r="T95" s="97">
        <v>874</v>
      </c>
      <c r="U95" s="115">
        <v>6337102</v>
      </c>
      <c r="V95" s="115">
        <f>U95/T95</f>
        <v>7250.6887871853551</v>
      </c>
      <c r="W95" s="115">
        <f>V95*1.01</f>
        <v>7323.195675057209</v>
      </c>
      <c r="X95" s="97">
        <f>'برنامه 5 ساله'!P44</f>
        <v>19500</v>
      </c>
      <c r="Y95" s="115">
        <f>T95*X95</f>
        <v>17043000</v>
      </c>
    </row>
    <row r="96" spans="1:25">
      <c r="A96" s="60" t="s">
        <v>5841</v>
      </c>
      <c r="B96" s="60" t="s">
        <v>4358</v>
      </c>
      <c r="C96" s="49">
        <v>16450</v>
      </c>
      <c r="D96" s="60">
        <v>434</v>
      </c>
      <c r="E96" s="289" t="s">
        <v>4220</v>
      </c>
      <c r="F96" s="291">
        <v>1175</v>
      </c>
      <c r="G96" s="289">
        <f t="shared" si="20"/>
        <v>5999.8723144539526</v>
      </c>
      <c r="H96" s="290">
        <f t="shared" si="21"/>
        <v>14</v>
      </c>
      <c r="I96" s="301">
        <f t="shared" si="22"/>
        <v>7.1428571428571425E-2</v>
      </c>
      <c r="J96" s="20"/>
      <c r="K96" s="20">
        <f t="shared" ref="K96:K98" si="23">H96/H95</f>
        <v>1.0370059880239522</v>
      </c>
      <c r="L96" s="20"/>
      <c r="M96" s="20"/>
      <c r="N96" s="20"/>
      <c r="R96" s="97"/>
      <c r="S96" s="97" t="s">
        <v>4220</v>
      </c>
      <c r="T96" s="97">
        <v>295000</v>
      </c>
      <c r="U96" s="115">
        <v>148594302</v>
      </c>
      <c r="V96" s="115">
        <f>U96/T96</f>
        <v>503.70949830508476</v>
      </c>
      <c r="W96" s="115">
        <f>V96*1.01</f>
        <v>508.74659328813561</v>
      </c>
      <c r="X96" s="97">
        <f>'برنامه 5 ساله'!P28</f>
        <v>1130.9000000000001</v>
      </c>
      <c r="Y96" s="115">
        <f>T96*X96</f>
        <v>333615500</v>
      </c>
    </row>
    <row r="97" spans="1:27">
      <c r="A97" s="60" t="s">
        <v>5877</v>
      </c>
      <c r="B97" s="60" t="s">
        <v>4358</v>
      </c>
      <c r="C97" s="49">
        <v>12550.14</v>
      </c>
      <c r="D97" s="60">
        <v>14611</v>
      </c>
      <c r="E97" s="289" t="s">
        <v>4220</v>
      </c>
      <c r="F97" s="291">
        <v>1057.5</v>
      </c>
      <c r="G97" s="289">
        <f t="shared" si="20"/>
        <v>171227.05144283082</v>
      </c>
      <c r="H97" s="290">
        <f t="shared" si="21"/>
        <v>11.867744680851063</v>
      </c>
      <c r="I97" s="301">
        <f t="shared" si="22"/>
        <v>8.4262008232577484E-2</v>
      </c>
      <c r="J97" s="20"/>
      <c r="K97" s="20" t="e">
        <f>H97/#REF!</f>
        <v>#REF!</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c r="B98" s="60"/>
      <c r="C98" s="49"/>
      <c r="D98" s="60"/>
      <c r="E98" s="289"/>
      <c r="F98" s="291"/>
      <c r="G98" s="289" t="e">
        <f t="shared" si="20"/>
        <v>#DIV/0!</v>
      </c>
      <c r="H98" s="290" t="e">
        <f t="shared" si="21"/>
        <v>#DIV/0!</v>
      </c>
      <c r="I98" s="301" t="e">
        <f t="shared" si="22"/>
        <v>#DIV/0!</v>
      </c>
      <c r="J98" s="20"/>
      <c r="K98" s="20" t="e">
        <f t="shared" si="23"/>
        <v>#DIV/0!</v>
      </c>
      <c r="L98" s="20"/>
      <c r="M98" s="20"/>
      <c r="N98" s="20"/>
      <c r="O98" t="s">
        <v>25</v>
      </c>
      <c r="R98" s="97" t="s">
        <v>5417</v>
      </c>
      <c r="S98" s="97" t="s">
        <v>5321</v>
      </c>
      <c r="T98" s="97">
        <v>0</v>
      </c>
      <c r="U98" s="115">
        <v>683292</v>
      </c>
      <c r="V98" s="115"/>
      <c r="W98" s="115"/>
      <c r="X98" s="97" t="e">
        <f>'برنامه 5 ساله'!#REF!</f>
        <v>#REF!</v>
      </c>
      <c r="Y98" s="115">
        <f>U98</f>
        <v>683292</v>
      </c>
    </row>
    <row r="99" spans="1:27">
      <c r="A99" s="60"/>
      <c r="B99" s="60" t="s">
        <v>4358</v>
      </c>
      <c r="C99" s="49">
        <f>C113</f>
        <v>13275.6</v>
      </c>
      <c r="D99" s="60">
        <v>1</v>
      </c>
      <c r="E99" s="289" t="s">
        <v>4220</v>
      </c>
      <c r="F99" s="291">
        <f>C111</f>
        <v>1245</v>
      </c>
      <c r="G99" s="289">
        <f t="shared" ref="G99" si="24">C99*D99*0.99114/(F99*1.0037158)</f>
        <v>10.529531542597633</v>
      </c>
      <c r="H99" s="290">
        <f>C99/F99</f>
        <v>10.663132530120482</v>
      </c>
      <c r="I99" s="301">
        <f>F99/C99</f>
        <v>9.378107204194161E-2</v>
      </c>
      <c r="J99" s="97"/>
      <c r="K99" s="97">
        <f>H99/H97</f>
        <v>0.89849696103807686</v>
      </c>
      <c r="L99" s="97">
        <f>(1/K99-1.0256)*100</f>
        <v>8.7369818890262749</v>
      </c>
      <c r="M99" s="97"/>
      <c r="N99" s="97"/>
      <c r="R99" s="97" t="s">
        <v>5417</v>
      </c>
      <c r="S99" s="97" t="s">
        <v>4519</v>
      </c>
      <c r="T99" s="97">
        <v>0</v>
      </c>
      <c r="U99" s="115">
        <v>270969</v>
      </c>
      <c r="V99" s="115"/>
      <c r="W99" s="115"/>
      <c r="X99" s="97">
        <v>1500</v>
      </c>
      <c r="Y99" s="115">
        <f>U99</f>
        <v>270969</v>
      </c>
      <c r="AA99" t="s">
        <v>25</v>
      </c>
    </row>
    <row r="100" spans="1:27">
      <c r="A100" s="295"/>
      <c r="B100" s="295"/>
      <c r="C100" s="296"/>
      <c r="D100" s="295"/>
      <c r="E100" s="295"/>
      <c r="F100" s="296"/>
      <c r="G100" s="295"/>
      <c r="H100" s="297"/>
      <c r="I100" s="302"/>
      <c r="J100" s="295"/>
      <c r="K100" s="295"/>
      <c r="L100" s="295"/>
      <c r="M100" s="295"/>
      <c r="N100" s="97"/>
      <c r="R100" s="97"/>
      <c r="S100" s="97"/>
      <c r="T100" s="97"/>
      <c r="U100" s="115"/>
      <c r="V100" s="115"/>
      <c r="W100" s="97"/>
      <c r="X100" s="97"/>
      <c r="Y100" s="97"/>
    </row>
    <row r="101" spans="1:27" ht="19.5">
      <c r="A101" s="287" t="s">
        <v>5829</v>
      </c>
      <c r="B101" s="287" t="s">
        <v>4362</v>
      </c>
      <c r="C101" s="288">
        <v>21532</v>
      </c>
      <c r="D101" s="287">
        <v>29643</v>
      </c>
      <c r="E101" s="289" t="s">
        <v>4220</v>
      </c>
      <c r="F101" s="291">
        <v>1304.9000000000001</v>
      </c>
      <c r="G101" s="322">
        <f t="shared" ref="G101" si="25">C101*D101*0.99114/(F101*1.0037158)</f>
        <v>483007.12468158372</v>
      </c>
      <c r="H101" s="323">
        <f t="shared" ref="H101" si="26">C101/F101</f>
        <v>16.500881293585714</v>
      </c>
      <c r="I101" s="301">
        <f t="shared" ref="I101" si="27">F101/C101</f>
        <v>6.0602823704254134E-2</v>
      </c>
      <c r="J101" s="97"/>
      <c r="K101" s="303">
        <v>1</v>
      </c>
      <c r="L101" s="312"/>
      <c r="M101" s="217" t="s">
        <v>5542</v>
      </c>
      <c r="N101" s="97"/>
      <c r="O101" t="s">
        <v>25</v>
      </c>
      <c r="P101" t="s">
        <v>25</v>
      </c>
      <c r="R101" s="97"/>
      <c r="S101" s="97"/>
      <c r="T101" s="97"/>
      <c r="U101" s="115"/>
      <c r="V101" s="115"/>
      <c r="W101" s="97"/>
      <c r="X101" s="97"/>
      <c r="Y101" s="97"/>
    </row>
    <row r="102" spans="1:27" ht="19.5">
      <c r="A102" s="287" t="s">
        <v>5832</v>
      </c>
      <c r="B102" s="287" t="s">
        <v>4362</v>
      </c>
      <c r="C102" s="288">
        <v>21532</v>
      </c>
      <c r="D102" s="287">
        <v>7188</v>
      </c>
      <c r="E102" s="289" t="s">
        <v>4220</v>
      </c>
      <c r="F102" s="291">
        <v>1285</v>
      </c>
      <c r="G102" s="322">
        <f t="shared" ref="G102:G107" si="28">C102*D102*0.99114/(F102*1.0037158)</f>
        <v>118936.06200201136</v>
      </c>
      <c r="H102" s="323">
        <f t="shared" ref="H102:H107" si="29">C102/F102</f>
        <v>16.756420233463036</v>
      </c>
      <c r="I102" s="301">
        <f t="shared" ref="I102:I107" si="30">F102/C102</f>
        <v>5.9678617871075611E-2</v>
      </c>
      <c r="J102" s="97"/>
      <c r="K102" s="303">
        <f>H102/H101</f>
        <v>1.0154863813229573</v>
      </c>
      <c r="L102" s="60"/>
      <c r="M102" s="60" t="s">
        <v>5543</v>
      </c>
      <c r="N102" s="97"/>
      <c r="P102" t="s">
        <v>25</v>
      </c>
      <c r="Q102" t="s">
        <v>25</v>
      </c>
      <c r="R102" s="97"/>
      <c r="S102" s="97"/>
      <c r="T102" s="97"/>
      <c r="U102" s="115">
        <v>159900000</v>
      </c>
      <c r="V102" s="115"/>
      <c r="W102" s="97"/>
      <c r="X102" s="97"/>
      <c r="Y102" s="93">
        <f>SUM(Y95:Y99)</f>
        <v>359022761</v>
      </c>
    </row>
    <row r="103" spans="1:27" ht="19.5">
      <c r="A103" s="287" t="s">
        <v>5833</v>
      </c>
      <c r="B103" s="287" t="s">
        <v>4362</v>
      </c>
      <c r="C103" s="288">
        <v>21532</v>
      </c>
      <c r="D103" s="287">
        <v>2917</v>
      </c>
      <c r="E103" s="289" t="s">
        <v>4220</v>
      </c>
      <c r="F103" s="291">
        <v>1274.7</v>
      </c>
      <c r="G103" s="322">
        <f t="shared" si="28"/>
        <v>48656.073333711538</v>
      </c>
      <c r="H103" s="323">
        <f t="shared" si="29"/>
        <v>16.891817682591981</v>
      </c>
      <c r="I103" s="301">
        <f t="shared" si="30"/>
        <v>5.9200260078023412E-2</v>
      </c>
      <c r="J103" s="97"/>
      <c r="K103" s="303">
        <f>H103/H102</f>
        <v>1.0080803326272847</v>
      </c>
      <c r="L103" s="23"/>
      <c r="M103" s="23" t="s">
        <v>5544</v>
      </c>
      <c r="N103" s="97"/>
      <c r="O103" t="s">
        <v>25</v>
      </c>
      <c r="R103" s="97"/>
      <c r="S103" s="97"/>
      <c r="T103" s="97"/>
      <c r="U103" s="115"/>
      <c r="V103" s="115"/>
      <c r="W103" s="97"/>
      <c r="X103" s="97"/>
      <c r="Y103" s="97"/>
    </row>
    <row r="104" spans="1:27" ht="19.5">
      <c r="A104" s="287" t="s">
        <v>5829</v>
      </c>
      <c r="B104" s="287" t="s">
        <v>4362</v>
      </c>
      <c r="C104" s="288">
        <v>21532</v>
      </c>
      <c r="D104" s="287">
        <v>18100</v>
      </c>
      <c r="E104" s="289" t="s">
        <v>4220</v>
      </c>
      <c r="F104" s="291">
        <v>1270.4000000000001</v>
      </c>
      <c r="G104" s="322">
        <f t="shared" si="28"/>
        <v>302933.08235460182</v>
      </c>
      <c r="H104" s="323">
        <f t="shared" si="29"/>
        <v>16.948992443324936</v>
      </c>
      <c r="I104" s="301">
        <f t="shared" si="30"/>
        <v>5.9000557310050161E-2</v>
      </c>
      <c r="J104" s="97"/>
      <c r="K104" s="303">
        <f t="shared" ref="K104" si="31">H104/H103</f>
        <v>1.0033847607052897</v>
      </c>
      <c r="L104" s="36"/>
      <c r="M104" s="97"/>
      <c r="N104" s="97"/>
      <c r="P104" t="s">
        <v>25</v>
      </c>
      <c r="R104" s="97"/>
      <c r="S104" s="97"/>
      <c r="T104" s="97"/>
      <c r="U104" s="97"/>
      <c r="V104" s="97"/>
      <c r="W104" s="97"/>
      <c r="X104" s="97"/>
      <c r="Y104" s="97"/>
    </row>
    <row r="105" spans="1:27" ht="19.5">
      <c r="A105" s="287" t="s">
        <v>5885</v>
      </c>
      <c r="B105" s="287" t="s">
        <v>4362</v>
      </c>
      <c r="C105" s="288">
        <v>17601</v>
      </c>
      <c r="D105" s="287">
        <v>617</v>
      </c>
      <c r="E105" s="289" t="s">
        <v>4220</v>
      </c>
      <c r="F105" s="291">
        <v>1053</v>
      </c>
      <c r="G105" s="322">
        <f t="shared" si="28"/>
        <v>10183.999719653677</v>
      </c>
      <c r="H105" s="323">
        <f t="shared" si="29"/>
        <v>16.715099715099715</v>
      </c>
      <c r="I105" s="301">
        <f t="shared" si="30"/>
        <v>5.982614624169081E-2</v>
      </c>
      <c r="J105" s="97"/>
      <c r="K105" s="303" t="e">
        <f>H105/#REF!</f>
        <v>#REF!</v>
      </c>
      <c r="L105" s="36"/>
      <c r="M105" s="97"/>
      <c r="N105" s="97"/>
      <c r="R105" s="97"/>
      <c r="S105" s="97"/>
      <c r="T105" s="97"/>
      <c r="U105" s="97"/>
      <c r="V105" s="97"/>
      <c r="W105" s="97"/>
      <c r="X105" s="97"/>
      <c r="Y105" s="97"/>
    </row>
    <row r="106" spans="1:27" ht="19.5">
      <c r="A106" s="287"/>
      <c r="B106" s="287"/>
      <c r="C106" s="288"/>
      <c r="D106" s="287"/>
      <c r="E106" s="289"/>
      <c r="F106" s="291"/>
      <c r="G106" s="322" t="e">
        <f t="shared" si="28"/>
        <v>#DIV/0!</v>
      </c>
      <c r="H106" s="323" t="e">
        <f t="shared" si="29"/>
        <v>#DIV/0!</v>
      </c>
      <c r="I106" s="301" t="e">
        <f t="shared" si="30"/>
        <v>#DIV/0!</v>
      </c>
      <c r="J106" s="97" t="s">
        <v>25</v>
      </c>
      <c r="K106" s="303" t="e">
        <f>H106/H104</f>
        <v>#DIV/0!</v>
      </c>
      <c r="L106" s="97"/>
      <c r="M106" s="97"/>
      <c r="N106" s="97"/>
      <c r="P106" t="s">
        <v>25</v>
      </c>
    </row>
    <row r="107" spans="1:27" ht="19.5">
      <c r="A107" s="287"/>
      <c r="B107" s="287"/>
      <c r="C107" s="288"/>
      <c r="D107" s="287" t="s">
        <v>25</v>
      </c>
      <c r="E107" s="289"/>
      <c r="F107" s="291"/>
      <c r="G107" s="322" t="e">
        <f t="shared" si="28"/>
        <v>#VALUE!</v>
      </c>
      <c r="H107" s="323" t="e">
        <f t="shared" si="29"/>
        <v>#DIV/0!</v>
      </c>
      <c r="I107" s="301" t="e">
        <f t="shared" si="30"/>
        <v>#DIV/0!</v>
      </c>
      <c r="J107" s="97"/>
      <c r="K107" s="303" t="e">
        <f t="shared" ref="K107" si="32">H107/H106</f>
        <v>#DIV/0!</v>
      </c>
      <c r="L107" s="308" t="s">
        <v>5471</v>
      </c>
      <c r="M107" s="295"/>
      <c r="N107" s="97"/>
      <c r="P107" t="s">
        <v>25</v>
      </c>
    </row>
    <row r="108" spans="1:27" ht="18.75">
      <c r="A108" s="289" t="s">
        <v>5477</v>
      </c>
      <c r="B108" s="289" t="s">
        <v>4362</v>
      </c>
      <c r="C108" s="309">
        <f>C112</f>
        <v>20400</v>
      </c>
      <c r="D108" s="289">
        <v>1</v>
      </c>
      <c r="E108" s="289" t="s">
        <v>4220</v>
      </c>
      <c r="F108" s="309">
        <f>C111</f>
        <v>1245</v>
      </c>
      <c r="G108" s="289">
        <f t="shared" ref="G108" si="33">C108*D108*0.99114/(F108*1.0037158)</f>
        <v>16.180243715462328</v>
      </c>
      <c r="H108" s="290">
        <f>C108/F108</f>
        <v>16.3855421686747</v>
      </c>
      <c r="I108" s="290">
        <f>F108/C108</f>
        <v>6.1029411764705881E-2</v>
      </c>
      <c r="J108" s="97"/>
      <c r="K108" s="304">
        <f>H108/H104</f>
        <v>0.96675611977913523</v>
      </c>
      <c r="L108" s="305">
        <f>(1/K108-1.0256)*100</f>
        <v>0.87870388205657513</v>
      </c>
      <c r="M108" s="97"/>
      <c r="N108" s="97"/>
      <c r="O108" t="s">
        <v>25</v>
      </c>
      <c r="P108" t="s">
        <v>25</v>
      </c>
      <c r="R108" s="97" t="s">
        <v>744</v>
      </c>
      <c r="S108" s="97"/>
      <c r="T108" s="97"/>
      <c r="U108" s="97"/>
      <c r="V108" s="97"/>
      <c r="W108" s="97" t="s">
        <v>1220</v>
      </c>
      <c r="X108" s="97" t="s">
        <v>926</v>
      </c>
      <c r="Y108" s="67" t="s">
        <v>5435</v>
      </c>
      <c r="Z108" t="s">
        <v>25</v>
      </c>
    </row>
    <row r="109" spans="1:27">
      <c r="A109" s="289"/>
      <c r="B109" s="94"/>
      <c r="C109" s="94"/>
      <c r="D109" s="94"/>
      <c r="E109" s="94"/>
      <c r="F109" s="94"/>
      <c r="G109" s="94"/>
      <c r="H109" s="94"/>
      <c r="I109" s="94"/>
      <c r="J109" s="94"/>
      <c r="K109" s="94"/>
      <c r="L109" s="94"/>
      <c r="M109" s="94"/>
      <c r="N109" s="94"/>
      <c r="R109" s="97"/>
      <c r="S109" s="97" t="s">
        <v>4362</v>
      </c>
      <c r="T109" s="97">
        <v>4279</v>
      </c>
      <c r="U109" s="115">
        <v>32796123</v>
      </c>
      <c r="V109" s="115">
        <f>U109/T109</f>
        <v>7664.436316896471</v>
      </c>
      <c r="W109" s="115">
        <f>V109*1.01</f>
        <v>7741.0806800654354</v>
      </c>
      <c r="X109" s="97">
        <f>X95</f>
        <v>19500</v>
      </c>
      <c r="Y109" s="97">
        <f>T109*X109</f>
        <v>83440500</v>
      </c>
    </row>
    <row r="110" spans="1:27">
      <c r="A110" s="85"/>
      <c r="B110" s="94"/>
      <c r="C110" s="94"/>
      <c r="D110" s="94" t="s">
        <v>25</v>
      </c>
      <c r="E110" s="94"/>
      <c r="F110" s="94"/>
      <c r="G110" s="94"/>
      <c r="H110" s="94"/>
      <c r="I110" s="94" t="s">
        <v>25</v>
      </c>
      <c r="J110" s="94" t="s">
        <v>25</v>
      </c>
      <c r="K110" s="94"/>
      <c r="L110" s="94"/>
      <c r="M110" s="94"/>
      <c r="N110" s="94"/>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4220</v>
      </c>
      <c r="C111" s="307">
        <v>1245</v>
      </c>
      <c r="D111" t="s">
        <v>25</v>
      </c>
      <c r="E111" s="94"/>
      <c r="F111">
        <v>1143</v>
      </c>
      <c r="G111">
        <f>F111/0.99114</f>
        <v>1153.2175071130214</v>
      </c>
      <c r="I111">
        <v>27649</v>
      </c>
      <c r="J111">
        <v>2000</v>
      </c>
      <c r="M111" s="94"/>
      <c r="N111" s="94"/>
      <c r="R111" s="97"/>
      <c r="S111" s="97" t="s">
        <v>4220</v>
      </c>
      <c r="T111" s="97">
        <v>12936</v>
      </c>
      <c r="U111" s="115">
        <v>6322162</v>
      </c>
      <c r="V111" s="115">
        <f>U111/T111</f>
        <v>488.72619047619048</v>
      </c>
      <c r="W111" s="115">
        <f>V111*1.01</f>
        <v>493.61345238095237</v>
      </c>
      <c r="X111" s="97">
        <f>X96</f>
        <v>1130.9000000000001</v>
      </c>
      <c r="Y111" s="97">
        <f>T111*X111</f>
        <v>14629322.4</v>
      </c>
    </row>
    <row r="112" spans="1:27" ht="21">
      <c r="B112" t="s">
        <v>4362</v>
      </c>
      <c r="C112" s="306">
        <v>20400</v>
      </c>
      <c r="E112" s="94"/>
      <c r="F112">
        <v>18758</v>
      </c>
      <c r="G112" s="94">
        <f t="shared" ref="G112" si="34">F112/1.0037158</f>
        <v>18688.557059677652</v>
      </c>
      <c r="I112" s="94">
        <f>I111*J112/J111</f>
        <v>21649.167000000001</v>
      </c>
      <c r="J112">
        <v>1566</v>
      </c>
      <c r="M112" s="94"/>
      <c r="N112" s="94"/>
      <c r="R112" s="97"/>
      <c r="S112" s="97" t="s">
        <v>5321</v>
      </c>
      <c r="T112" s="97">
        <v>4687</v>
      </c>
      <c r="U112" s="115">
        <v>1911597</v>
      </c>
      <c r="V112" s="115">
        <f>U112/T112</f>
        <v>407.85086409216984</v>
      </c>
      <c r="W112" s="115">
        <f>V112*1.01</f>
        <v>411.92937273309155</v>
      </c>
      <c r="X112" s="97" t="e">
        <f>X98</f>
        <v>#REF!</v>
      </c>
      <c r="Y112" s="97" t="e">
        <f>T112*X112</f>
        <v>#REF!</v>
      </c>
    </row>
    <row r="113" spans="1:25">
      <c r="A113" s="94"/>
      <c r="B113" t="s">
        <v>4358</v>
      </c>
      <c r="C113" s="60">
        <v>13275.6</v>
      </c>
      <c r="F113">
        <v>140665</v>
      </c>
      <c r="G113" s="94">
        <f>F113*0.99114/1.0037158</f>
        <v>138902.5739158435</v>
      </c>
      <c r="H113" s="94"/>
      <c r="I113">
        <f>I111-I112</f>
        <v>5999.8329999999987</v>
      </c>
      <c r="J113">
        <f>J111-J112</f>
        <v>434</v>
      </c>
      <c r="K113" t="s">
        <v>25</v>
      </c>
      <c r="L113" t="s">
        <v>25</v>
      </c>
      <c r="M113" s="94"/>
      <c r="N113" s="94"/>
      <c r="R113" s="97" t="s">
        <v>5417</v>
      </c>
      <c r="S113" s="97" t="s">
        <v>4519</v>
      </c>
      <c r="T113" s="97">
        <v>0</v>
      </c>
      <c r="U113" s="115">
        <v>180438</v>
      </c>
      <c r="V113" s="115"/>
      <c r="W113" s="115"/>
      <c r="X113" s="97">
        <f>X99</f>
        <v>1500</v>
      </c>
      <c r="Y113" s="93">
        <f>U113</f>
        <v>180438</v>
      </c>
    </row>
    <row r="114" spans="1:25">
      <c r="A114" s="94"/>
      <c r="B114" s="94"/>
      <c r="C114" s="94"/>
      <c r="D114" s="94"/>
      <c r="E114" s="94"/>
      <c r="F114" s="94"/>
      <c r="G114" s="94"/>
      <c r="H114" s="94" t="s">
        <v>25</v>
      </c>
      <c r="J114" t="s">
        <v>25</v>
      </c>
      <c r="M114" s="94"/>
      <c r="N114" s="94"/>
      <c r="R114" s="97"/>
      <c r="S114" s="97"/>
      <c r="T114" s="97"/>
      <c r="U114" s="115"/>
      <c r="V114" s="115"/>
      <c r="W114" s="115"/>
      <c r="X114" s="97"/>
      <c r="Y114" s="97"/>
    </row>
    <row r="115" spans="1:25" ht="27" customHeight="1">
      <c r="A115" s="94"/>
      <c r="B115" s="94"/>
      <c r="C115" s="94"/>
      <c r="R115" s="97"/>
      <c r="S115" s="97"/>
      <c r="T115" s="97"/>
      <c r="U115" s="115">
        <v>141800000</v>
      </c>
      <c r="V115" s="115"/>
      <c r="W115" s="115"/>
      <c r="X115" s="97"/>
      <c r="Y115" s="93" t="e">
        <f>SUM(Y109:Y113)</f>
        <v>#REF!</v>
      </c>
    </row>
    <row r="116" spans="1:25">
      <c r="A116" s="97" t="s">
        <v>5581</v>
      </c>
      <c r="B116" s="97"/>
      <c r="C116" s="97"/>
      <c r="D116" s="97"/>
      <c r="E116" s="97"/>
      <c r="F116" s="97"/>
      <c r="G116" s="97"/>
      <c r="H116" s="97"/>
      <c r="I116" s="97"/>
      <c r="J116" s="97"/>
      <c r="K116" s="97"/>
    </row>
    <row r="117" spans="1:25">
      <c r="A117" s="287" t="s">
        <v>5829</v>
      </c>
      <c r="B117" s="287" t="s">
        <v>4362</v>
      </c>
      <c r="C117" s="287">
        <v>21532</v>
      </c>
      <c r="D117" s="287">
        <v>1859</v>
      </c>
      <c r="E117" s="289" t="s">
        <v>4220</v>
      </c>
      <c r="F117" s="289">
        <v>1273.7</v>
      </c>
      <c r="G117" s="289">
        <f>C117*D117*0.99114/(F117*1.0037158)</f>
        <v>31032.792320085835</v>
      </c>
      <c r="H117" s="289">
        <f t="shared" ref="H117" si="35">C117/F117</f>
        <v>16.905079689094762</v>
      </c>
      <c r="I117" s="289">
        <f t="shared" ref="I117" si="36">F117/C117</f>
        <v>5.9153817573843581E-2</v>
      </c>
      <c r="J117" s="97"/>
      <c r="K117" s="97">
        <v>1</v>
      </c>
      <c r="L117" t="s">
        <v>25</v>
      </c>
    </row>
    <row r="118" spans="1:25">
      <c r="A118" s="287" t="s">
        <v>5836</v>
      </c>
      <c r="B118" s="287" t="s">
        <v>4362</v>
      </c>
      <c r="C118" s="287">
        <v>22420.1</v>
      </c>
      <c r="D118" s="287">
        <v>1000</v>
      </c>
      <c r="E118" s="289" t="s">
        <v>4220</v>
      </c>
      <c r="F118" s="289">
        <v>1246</v>
      </c>
      <c r="G118" s="289">
        <f t="shared" ref="G118:G128" si="37">C118*D118*0.99114/(F118*1.0037158)</f>
        <v>17768.212761057777</v>
      </c>
      <c r="H118" s="289">
        <f t="shared" ref="H118:H128" si="38">C118/F118</f>
        <v>17.993659711075441</v>
      </c>
      <c r="I118" s="289">
        <f t="shared" ref="I118:I128" si="39">F118/C118</f>
        <v>5.557513124383924E-2</v>
      </c>
      <c r="J118" s="97"/>
      <c r="K118" s="97">
        <f>H118/H117</f>
        <v>1.0643936640347758</v>
      </c>
      <c r="O118" t="s">
        <v>25</v>
      </c>
      <c r="P118" t="s">
        <v>25</v>
      </c>
      <c r="Q118" t="s">
        <v>25</v>
      </c>
      <c r="R118" t="s">
        <v>25</v>
      </c>
      <c r="W118" t="s">
        <v>5436</v>
      </c>
      <c r="X118" s="112" t="e">
        <f>Y102+Y115-U102-U115</f>
        <v>#REF!</v>
      </c>
    </row>
    <row r="119" spans="1:25">
      <c r="A119" s="287" t="s">
        <v>5839</v>
      </c>
      <c r="B119" s="287" t="s">
        <v>4362</v>
      </c>
      <c r="C119" s="287">
        <v>23233.1</v>
      </c>
      <c r="D119" s="287">
        <v>1000</v>
      </c>
      <c r="E119" s="289" t="s">
        <v>4220</v>
      </c>
      <c r="F119" s="289">
        <v>1236</v>
      </c>
      <c r="G119" s="289">
        <f t="shared" ref="G119:G127" si="40">C119*D119*0.99114/(F119*1.0037158)</f>
        <v>18561.494195015792</v>
      </c>
      <c r="H119" s="289">
        <f t="shared" ref="H119:H127" si="41">C119/F119</f>
        <v>18.797006472491908</v>
      </c>
      <c r="I119" s="289">
        <f t="shared" ref="I119:I127" si="42">F119/C119</f>
        <v>5.3199960401323979E-2</v>
      </c>
      <c r="J119" s="97"/>
      <c r="K119" s="97">
        <f t="shared" ref="K119:K127" si="43">H119/H118</f>
        <v>1.0446461017000335</v>
      </c>
      <c r="R119" t="s">
        <v>25</v>
      </c>
    </row>
    <row r="120" spans="1:25">
      <c r="A120" s="287" t="s">
        <v>5841</v>
      </c>
      <c r="B120" s="287" t="s">
        <v>4362</v>
      </c>
      <c r="C120" s="287">
        <v>23900</v>
      </c>
      <c r="D120" s="287">
        <v>1000</v>
      </c>
      <c r="E120" s="289" t="s">
        <v>4220</v>
      </c>
      <c r="F120" s="289">
        <v>1237.2</v>
      </c>
      <c r="G120" s="289">
        <f t="shared" si="40"/>
        <v>19075.776812419539</v>
      </c>
      <c r="H120" s="289">
        <f t="shared" si="41"/>
        <v>19.317814419657289</v>
      </c>
      <c r="I120" s="289">
        <f t="shared" si="42"/>
        <v>5.1765690376569043E-2</v>
      </c>
      <c r="J120" s="97"/>
      <c r="K120" s="97">
        <f t="shared" si="43"/>
        <v>1.027706962165893</v>
      </c>
      <c r="Q120" t="s">
        <v>25</v>
      </c>
      <c r="R120" s="316" t="s">
        <v>5734</v>
      </c>
    </row>
    <row r="121" spans="1:25">
      <c r="A121" s="287" t="s">
        <v>5859</v>
      </c>
      <c r="B121" s="287" t="s">
        <v>4362</v>
      </c>
      <c r="C121" s="287">
        <v>22500</v>
      </c>
      <c r="D121" s="287">
        <v>2000</v>
      </c>
      <c r="E121" s="289" t="s">
        <v>4220</v>
      </c>
      <c r="F121" s="289">
        <v>1173</v>
      </c>
      <c r="G121" s="289">
        <f t="shared" si="40"/>
        <v>37882.509827272828</v>
      </c>
      <c r="H121" s="289">
        <f t="shared" si="41"/>
        <v>19.181585677749361</v>
      </c>
      <c r="I121" s="289">
        <f t="shared" si="42"/>
        <v>5.213333333333333E-2</v>
      </c>
      <c r="J121" s="97"/>
      <c r="K121" s="97">
        <f t="shared" si="43"/>
        <v>0.99294802512600466</v>
      </c>
      <c r="L121" s="94"/>
      <c r="O121" t="s">
        <v>25</v>
      </c>
      <c r="P121" t="s">
        <v>25</v>
      </c>
      <c r="R121" t="s">
        <v>25</v>
      </c>
    </row>
    <row r="122" spans="1:25">
      <c r="A122" s="287"/>
      <c r="B122" s="287" t="s">
        <v>4220</v>
      </c>
      <c r="C122" s="287">
        <v>1278</v>
      </c>
      <c r="D122" s="287">
        <v>200000</v>
      </c>
      <c r="E122" s="289" t="s">
        <v>4358</v>
      </c>
      <c r="F122" s="289">
        <v>13275.6</v>
      </c>
      <c r="G122" s="289">
        <f t="shared" si="40"/>
        <v>19012.136948656258</v>
      </c>
      <c r="H122" s="289">
        <f t="shared" si="41"/>
        <v>9.6266835397270184E-2</v>
      </c>
      <c r="I122" s="289">
        <f>F122/C122</f>
        <v>10.387793427230047</v>
      </c>
      <c r="J122" s="97"/>
      <c r="K122" s="97"/>
      <c r="L122" s="94"/>
      <c r="M122" s="94"/>
      <c r="N122" s="94"/>
      <c r="O122" s="94"/>
      <c r="P122" s="94"/>
      <c r="Q122" t="s">
        <v>25</v>
      </c>
      <c r="R122" t="s">
        <v>25</v>
      </c>
      <c r="S122" t="s">
        <v>25</v>
      </c>
    </row>
    <row r="123" spans="1:25">
      <c r="A123" s="287"/>
      <c r="B123" s="287"/>
      <c r="C123" s="287"/>
      <c r="D123" s="287"/>
      <c r="E123" s="289"/>
      <c r="F123" s="289"/>
      <c r="G123" s="289"/>
      <c r="H123" s="289"/>
      <c r="I123" s="289"/>
      <c r="J123" s="97"/>
      <c r="K123" s="97"/>
      <c r="L123" s="94"/>
      <c r="M123" s="94"/>
      <c r="N123" s="94"/>
      <c r="O123" s="94"/>
      <c r="R123" t="s">
        <v>25</v>
      </c>
      <c r="S123" t="s">
        <v>25</v>
      </c>
    </row>
    <row r="124" spans="1:25">
      <c r="A124" s="287"/>
      <c r="B124" s="287"/>
      <c r="C124" s="287"/>
      <c r="D124" s="287"/>
      <c r="E124" s="289"/>
      <c r="F124" s="289"/>
      <c r="G124" s="289"/>
      <c r="H124" s="289"/>
      <c r="I124" s="289"/>
      <c r="J124" s="97"/>
      <c r="K124" s="97"/>
      <c r="L124" s="94"/>
      <c r="M124" s="94"/>
      <c r="N124" s="94"/>
      <c r="O124" s="94"/>
      <c r="S124" t="s">
        <v>25</v>
      </c>
    </row>
    <row r="125" spans="1:25">
      <c r="A125" s="287"/>
      <c r="B125" s="287"/>
      <c r="C125" s="287"/>
      <c r="D125" s="287"/>
      <c r="E125" s="289"/>
      <c r="F125" s="289"/>
      <c r="G125" s="289"/>
      <c r="H125" s="289"/>
      <c r="I125" s="289"/>
      <c r="J125" s="97"/>
      <c r="K125" s="97"/>
      <c r="L125" s="94"/>
      <c r="M125" s="94"/>
      <c r="N125" s="94"/>
      <c r="O125" s="94"/>
      <c r="S125" t="s">
        <v>25</v>
      </c>
    </row>
    <row r="126" spans="1:25">
      <c r="A126" s="287"/>
      <c r="B126" s="287"/>
      <c r="C126" s="287"/>
      <c r="D126" s="287"/>
      <c r="E126" s="289"/>
      <c r="F126" s="289"/>
      <c r="G126" s="289" t="e">
        <f t="shared" si="40"/>
        <v>#DIV/0!</v>
      </c>
      <c r="H126" s="289" t="e">
        <f t="shared" si="41"/>
        <v>#DIV/0!</v>
      </c>
      <c r="I126" s="289" t="e">
        <f t="shared" si="42"/>
        <v>#DIV/0!</v>
      </c>
      <c r="J126" s="97"/>
      <c r="K126" s="97" t="e">
        <f>H126/H121</f>
        <v>#DIV/0!</v>
      </c>
      <c r="L126" s="94"/>
      <c r="R126" t="s">
        <v>25</v>
      </c>
      <c r="S126" t="s">
        <v>25</v>
      </c>
    </row>
    <row r="127" spans="1:25">
      <c r="A127" s="97"/>
      <c r="B127" s="97"/>
      <c r="C127" s="97"/>
      <c r="D127" s="97"/>
      <c r="E127" s="97"/>
      <c r="F127" s="97"/>
      <c r="G127" s="97" t="e">
        <f t="shared" si="40"/>
        <v>#DIV/0!</v>
      </c>
      <c r="H127" s="97" t="e">
        <f t="shared" si="41"/>
        <v>#DIV/0!</v>
      </c>
      <c r="I127" s="97" t="e">
        <f t="shared" si="42"/>
        <v>#DIV/0!</v>
      </c>
      <c r="J127" s="97"/>
      <c r="K127" s="97" t="e">
        <f t="shared" si="43"/>
        <v>#DIV/0!</v>
      </c>
      <c r="O127" t="s">
        <v>25</v>
      </c>
      <c r="R127" t="s">
        <v>25</v>
      </c>
    </row>
    <row r="128" spans="1:25">
      <c r="A128" s="97"/>
      <c r="B128" s="97" t="s">
        <v>25</v>
      </c>
      <c r="C128" s="93">
        <f>C111</f>
        <v>1245</v>
      </c>
      <c r="D128" s="97"/>
      <c r="E128" s="97"/>
      <c r="F128" s="93">
        <f>C113</f>
        <v>13275.6</v>
      </c>
      <c r="G128" s="97">
        <f t="shared" si="37"/>
        <v>0</v>
      </c>
      <c r="H128" s="97">
        <f t="shared" si="38"/>
        <v>9.378107204194161E-2</v>
      </c>
      <c r="I128" s="97">
        <f t="shared" si="39"/>
        <v>10.663132530120482</v>
      </c>
      <c r="J128" s="97"/>
      <c r="K128" s="97">
        <f>H128/H122</f>
        <v>0.9741784037558685</v>
      </c>
      <c r="L128" s="305">
        <f>(1/K128-1.0256)*100</f>
        <v>9.0602409638562698E-2</v>
      </c>
      <c r="O128" t="s">
        <v>25</v>
      </c>
    </row>
    <row r="129" spans="1:20">
      <c r="A129" s="94"/>
      <c r="B129" s="94"/>
      <c r="C129" s="94"/>
      <c r="D129" s="94"/>
      <c r="E129" s="94"/>
      <c r="F129" s="94"/>
      <c r="G129" s="94"/>
      <c r="H129" s="94"/>
      <c r="K129" s="94"/>
      <c r="S129" t="s">
        <v>25</v>
      </c>
      <c r="T129" t="s">
        <v>25</v>
      </c>
    </row>
    <row r="130" spans="1:20">
      <c r="A130" s="94"/>
      <c r="B130" s="94"/>
      <c r="C130" s="94"/>
      <c r="D130" s="94"/>
      <c r="E130" s="94"/>
      <c r="F130" s="94"/>
      <c r="G130" s="94"/>
      <c r="H130" s="94"/>
      <c r="K130" s="94"/>
      <c r="R130" t="s">
        <v>25</v>
      </c>
      <c r="S130" t="s">
        <v>25</v>
      </c>
    </row>
    <row r="131" spans="1:20">
      <c r="A131" s="94"/>
      <c r="B131" s="94">
        <f>H99/13.506</f>
        <v>0.78951077521993795</v>
      </c>
      <c r="C131" s="94"/>
      <c r="D131" s="94"/>
      <c r="E131" s="94"/>
      <c r="F131" s="94"/>
      <c r="G131" s="94"/>
      <c r="H131" s="94" t="s">
        <v>5572</v>
      </c>
      <c r="K131" s="94"/>
      <c r="Q131" t="s">
        <v>25</v>
      </c>
    </row>
    <row r="132" spans="1:20">
      <c r="A132" s="94"/>
      <c r="B132" s="94"/>
      <c r="C132" s="94"/>
      <c r="D132" s="94"/>
      <c r="E132" s="94"/>
      <c r="F132" s="94"/>
      <c r="G132" s="94"/>
      <c r="H132" s="94" t="s">
        <v>5573</v>
      </c>
      <c r="L132" t="s">
        <v>25</v>
      </c>
      <c r="P132" t="s">
        <v>25</v>
      </c>
      <c r="Q132" t="s">
        <v>25</v>
      </c>
      <c r="R132" t="s">
        <v>25</v>
      </c>
    </row>
    <row r="133" spans="1:20">
      <c r="A133" s="94"/>
      <c r="B133" s="94"/>
      <c r="C133" s="94"/>
      <c r="D133" s="94"/>
      <c r="E133" s="94"/>
      <c r="F133" s="94"/>
      <c r="G133" s="94"/>
      <c r="H133" s="94" t="s">
        <v>5574</v>
      </c>
      <c r="K133" t="s">
        <v>25</v>
      </c>
      <c r="O133" t="s">
        <v>25</v>
      </c>
    </row>
    <row r="134" spans="1:20">
      <c r="A134" s="94"/>
      <c r="B134" s="94"/>
      <c r="C134" s="94"/>
      <c r="D134" s="94"/>
      <c r="E134" s="94"/>
      <c r="F134" s="94"/>
      <c r="G134" s="94"/>
      <c r="H134" s="94" t="s">
        <v>5575</v>
      </c>
      <c r="J134" t="s">
        <v>25</v>
      </c>
      <c r="K134" t="s">
        <v>25</v>
      </c>
    </row>
    <row r="135" spans="1:20">
      <c r="A135" s="94"/>
      <c r="B135" s="94"/>
      <c r="C135" s="94"/>
      <c r="D135" s="94"/>
      <c r="E135" s="94"/>
      <c r="F135" s="94"/>
      <c r="G135" s="94"/>
      <c r="H135" s="94" t="s">
        <v>5576</v>
      </c>
      <c r="J135" t="s">
        <v>25</v>
      </c>
      <c r="P135" t="s">
        <v>25</v>
      </c>
      <c r="Q135" t="s">
        <v>25</v>
      </c>
    </row>
    <row r="136" spans="1:20">
      <c r="A136" s="94"/>
      <c r="B136" s="94"/>
      <c r="C136" s="94"/>
      <c r="D136" s="94"/>
      <c r="E136" s="94"/>
      <c r="F136" s="94"/>
      <c r="G136" s="94"/>
      <c r="H136" s="94" t="s">
        <v>5577</v>
      </c>
      <c r="Q136" t="s">
        <v>25</v>
      </c>
      <c r="R136" t="s">
        <v>25</v>
      </c>
    </row>
    <row r="137" spans="1:20">
      <c r="A137" s="94"/>
      <c r="B137" s="94"/>
      <c r="C137" s="94"/>
      <c r="D137" s="94"/>
      <c r="E137" s="94"/>
      <c r="F137" s="94"/>
      <c r="G137" s="94"/>
      <c r="H137" s="94"/>
      <c r="K137" t="s">
        <v>25</v>
      </c>
      <c r="P137" t="s">
        <v>25</v>
      </c>
    </row>
    <row r="138" spans="1:20">
      <c r="A138" s="94"/>
      <c r="B138" s="94"/>
      <c r="C138" s="94"/>
      <c r="D138" s="94"/>
      <c r="E138" s="94"/>
      <c r="F138" s="94"/>
      <c r="G138" s="94"/>
      <c r="H138" s="94" t="s">
        <v>25</v>
      </c>
      <c r="Q138" t="s">
        <v>25</v>
      </c>
    </row>
    <row r="139" spans="1:20">
      <c r="A139" s="94"/>
      <c r="B139" s="94"/>
      <c r="C139" s="94"/>
      <c r="D139" s="94"/>
      <c r="E139" s="94"/>
      <c r="F139" s="94"/>
      <c r="G139" s="94"/>
      <c r="H139" s="94"/>
      <c r="P139" t="s">
        <v>25</v>
      </c>
    </row>
    <row r="140" spans="1:20">
      <c r="A140" s="94"/>
      <c r="B140" s="94"/>
      <c r="C140" s="94"/>
      <c r="D140" s="94"/>
      <c r="E140" s="94"/>
      <c r="F140" s="94"/>
      <c r="G140" s="94"/>
      <c r="H140" s="94"/>
    </row>
    <row r="141" spans="1:20">
      <c r="A141" s="94"/>
      <c r="B141" s="94"/>
      <c r="C141" s="94"/>
      <c r="D141" s="94"/>
      <c r="E141" s="94"/>
      <c r="F141" s="94"/>
      <c r="R141" t="s">
        <v>25</v>
      </c>
    </row>
    <row r="142" spans="1:20">
      <c r="A142" s="94"/>
      <c r="B142" s="94"/>
      <c r="C142" s="94"/>
      <c r="D142" s="94"/>
      <c r="E142" s="94"/>
      <c r="F142" s="94"/>
      <c r="H142" t="s">
        <v>25</v>
      </c>
    </row>
    <row r="143" spans="1:20">
      <c r="A143" s="94"/>
      <c r="B143" s="94"/>
      <c r="C143" s="94"/>
      <c r="D143" s="94"/>
      <c r="E143" s="94"/>
      <c r="F143" s="94"/>
      <c r="I143" t="s">
        <v>25</v>
      </c>
    </row>
    <row r="144" spans="1:20">
      <c r="A144" s="94"/>
      <c r="B144" s="94"/>
      <c r="C144" s="94"/>
      <c r="D144" s="94"/>
      <c r="E144" s="94"/>
      <c r="F144" s="94"/>
      <c r="N144" t="s">
        <v>25</v>
      </c>
    </row>
    <row r="145" spans="1:17">
      <c r="A145" s="94"/>
      <c r="B145" s="94"/>
      <c r="C145" s="94"/>
      <c r="D145" s="94"/>
      <c r="E145" s="94"/>
      <c r="F145" s="94"/>
      <c r="H145" t="s">
        <v>25</v>
      </c>
    </row>
    <row r="146" spans="1:17">
      <c r="A146" s="94"/>
      <c r="B146" s="94"/>
      <c r="C146" s="94"/>
      <c r="D146" s="94"/>
      <c r="E146" s="94"/>
      <c r="F146" s="94"/>
      <c r="H146" t="s">
        <v>25</v>
      </c>
      <c r="M146" t="s">
        <v>25</v>
      </c>
    </row>
    <row r="147" spans="1:17">
      <c r="A147" s="94"/>
      <c r="B147" s="94"/>
      <c r="C147" s="94"/>
      <c r="D147" s="94"/>
      <c r="E147" s="94"/>
      <c r="F147" s="94"/>
      <c r="N147" t="s">
        <v>25</v>
      </c>
    </row>
    <row r="148" spans="1:17">
      <c r="A148" s="94"/>
      <c r="B148" s="94"/>
      <c r="C148" s="94"/>
      <c r="D148" s="94"/>
      <c r="E148" s="94"/>
      <c r="F148" s="94"/>
      <c r="M148" t="s">
        <v>25</v>
      </c>
    </row>
    <row r="149" spans="1:17">
      <c r="A149" s="94"/>
      <c r="B149" s="94"/>
      <c r="C149" s="94"/>
      <c r="D149" s="94"/>
      <c r="E149" s="94"/>
      <c r="F149" s="94"/>
    </row>
    <row r="150" spans="1:17">
      <c r="A150" s="94"/>
      <c r="B150" s="94"/>
      <c r="C150" s="94"/>
      <c r="D150" s="94"/>
      <c r="E150" s="94"/>
      <c r="F150" s="94"/>
    </row>
    <row r="151" spans="1:17">
      <c r="A151" s="94"/>
      <c r="B151" s="94"/>
      <c r="C151" s="94"/>
      <c r="D151" s="94"/>
      <c r="E151" s="94"/>
      <c r="F151" s="94"/>
      <c r="P151" t="s">
        <v>25</v>
      </c>
    </row>
    <row r="152" spans="1:17">
      <c r="A152" s="94"/>
      <c r="B152" s="94"/>
      <c r="C152" s="94"/>
      <c r="D152" s="94"/>
      <c r="E152" s="94"/>
      <c r="F152" s="94"/>
    </row>
    <row r="153" spans="1:17">
      <c r="A153" s="94"/>
      <c r="B153" s="94"/>
      <c r="C153" s="94"/>
      <c r="D153" s="94"/>
      <c r="E153" s="94"/>
      <c r="F153" s="94"/>
    </row>
    <row r="154" spans="1:17">
      <c r="A154" s="94"/>
      <c r="B154" s="94"/>
      <c r="C154" s="94"/>
      <c r="D154" s="94"/>
      <c r="E154" s="94"/>
      <c r="F154" s="94"/>
    </row>
    <row r="155" spans="1:17">
      <c r="A155" s="94"/>
      <c r="B155" s="94"/>
      <c r="C155" s="94"/>
      <c r="D155" s="94"/>
      <c r="E155" s="94"/>
      <c r="F155" s="94"/>
      <c r="Q155" t="s">
        <v>25</v>
      </c>
    </row>
    <row r="156" spans="1:17">
      <c r="A156" s="94"/>
      <c r="B156" s="94"/>
      <c r="C156" s="94"/>
      <c r="D156" s="94"/>
      <c r="E156" s="94"/>
      <c r="F156" s="94"/>
      <c r="O156" t="s">
        <v>25</v>
      </c>
      <c r="Q156" t="s">
        <v>25</v>
      </c>
    </row>
    <row r="157" spans="1:17">
      <c r="A157" s="94"/>
      <c r="B157" s="94"/>
      <c r="C157" s="94"/>
      <c r="D157" s="94"/>
      <c r="E157" s="94"/>
      <c r="F157" s="94"/>
    </row>
    <row r="158" spans="1:17">
      <c r="A158" s="94"/>
      <c r="B158" s="94"/>
      <c r="C158" s="94"/>
      <c r="D158" s="94"/>
      <c r="E158" s="94"/>
      <c r="F158" s="94"/>
    </row>
    <row r="159" spans="1:17">
      <c r="A159" s="94"/>
      <c r="B159" s="94"/>
      <c r="C159" s="94"/>
      <c r="D159" s="94"/>
      <c r="E159" s="94"/>
      <c r="F159" s="94"/>
      <c r="P159" t="s">
        <v>25</v>
      </c>
    </row>
    <row r="160" spans="1:17">
      <c r="A160" s="94"/>
      <c r="B160" s="94"/>
      <c r="C160" s="94"/>
      <c r="D160" s="94"/>
      <c r="E160" s="94"/>
      <c r="F160" s="94"/>
      <c r="P160" t="s">
        <v>25</v>
      </c>
    </row>
    <row r="161" spans="1:15">
      <c r="A161" s="94"/>
      <c r="B161" s="94"/>
      <c r="C161" s="94"/>
      <c r="D161" s="94"/>
      <c r="E161" s="94"/>
      <c r="F161" s="94"/>
      <c r="O161" t="s">
        <v>25</v>
      </c>
    </row>
    <row r="162" spans="1:15">
      <c r="A162" s="94"/>
      <c r="B162" s="94"/>
      <c r="C162" s="94"/>
      <c r="D162" s="94"/>
      <c r="E162" s="94"/>
      <c r="F162" s="94"/>
    </row>
    <row r="163" spans="1:15">
      <c r="A163" s="94"/>
      <c r="B163" s="94"/>
      <c r="C163" s="94"/>
      <c r="D163" s="94"/>
      <c r="E163" s="94"/>
      <c r="F163" s="94"/>
    </row>
    <row r="164" spans="1:15">
      <c r="A164" s="94"/>
      <c r="B164" s="94"/>
      <c r="C164" s="94"/>
      <c r="D164" s="94"/>
      <c r="E164" s="94"/>
      <c r="F164" s="94"/>
    </row>
    <row r="165" spans="1:15">
      <c r="A165" s="94"/>
      <c r="B165" s="94"/>
      <c r="C165" s="94"/>
      <c r="D165" s="94"/>
      <c r="E165" s="94"/>
      <c r="F165" s="94"/>
    </row>
    <row r="166" spans="1:15">
      <c r="A166" s="94"/>
      <c r="B166" s="94"/>
      <c r="C166" s="94"/>
      <c r="D166" s="94"/>
      <c r="E166" s="94"/>
      <c r="F166" s="94"/>
    </row>
    <row r="167" spans="1:15">
      <c r="A167" s="94"/>
      <c r="B167" s="94"/>
      <c r="C167" s="94"/>
      <c r="D167" s="94"/>
      <c r="E167" s="94"/>
      <c r="F167" s="94"/>
    </row>
    <row r="168" spans="1:15">
      <c r="A168" s="94"/>
      <c r="B168" s="94"/>
      <c r="C168" s="94"/>
      <c r="D168" s="94"/>
      <c r="E168" s="94"/>
      <c r="F168" s="94"/>
    </row>
    <row r="169" spans="1:15">
      <c r="A169" s="94"/>
      <c r="B169" s="94"/>
      <c r="C169" s="94"/>
      <c r="D169" s="94"/>
      <c r="E169" s="94"/>
      <c r="F169" s="94"/>
      <c r="H169" t="s">
        <v>25</v>
      </c>
    </row>
    <row r="170" spans="1:15">
      <c r="A170" s="94"/>
      <c r="B170" s="94"/>
      <c r="C170" s="94"/>
      <c r="D170" s="94"/>
      <c r="E170" s="94"/>
      <c r="F170" s="94"/>
    </row>
    <row r="171" spans="1:15">
      <c r="A171" s="94"/>
      <c r="B171" s="94"/>
      <c r="C171" s="94"/>
      <c r="D171" s="94"/>
      <c r="E171" s="94"/>
      <c r="F171" s="94"/>
    </row>
    <row r="172" spans="1:15">
      <c r="A172" s="94"/>
      <c r="B172" s="94"/>
      <c r="C172" s="94"/>
      <c r="D172" s="94"/>
      <c r="E172" s="94"/>
      <c r="F172" s="94"/>
      <c r="H172" t="s">
        <v>25</v>
      </c>
    </row>
    <row r="173" spans="1:15">
      <c r="A173" s="94"/>
      <c r="B173" s="94"/>
      <c r="C173" s="94"/>
      <c r="D173" s="94"/>
      <c r="E173" s="94"/>
      <c r="F173" s="94"/>
    </row>
    <row r="174" spans="1:15">
      <c r="A174" s="94"/>
      <c r="B174" s="94"/>
      <c r="C174" s="94"/>
      <c r="D174" s="94"/>
      <c r="E174" s="94"/>
      <c r="F174" s="94"/>
    </row>
    <row r="175" spans="1:15">
      <c r="A175" s="94"/>
      <c r="B175" s="94"/>
      <c r="C175" s="94"/>
      <c r="D175" s="94"/>
      <c r="E175" s="94"/>
      <c r="F175" s="94"/>
    </row>
    <row r="176" spans="1:15">
      <c r="A176" s="94"/>
      <c r="B176" s="94"/>
      <c r="C176" s="94"/>
      <c r="D176" s="94"/>
      <c r="E176" s="94"/>
      <c r="F176" s="94"/>
      <c r="H176" t="s">
        <v>25</v>
      </c>
    </row>
    <row r="177" spans="1:6">
      <c r="A177" s="94"/>
      <c r="B177" s="94"/>
      <c r="C177" s="94"/>
      <c r="D177" s="94"/>
      <c r="E177" s="94"/>
      <c r="F177" s="94"/>
    </row>
    <row r="178" spans="1:6">
      <c r="A178" s="94"/>
      <c r="B178" s="94"/>
      <c r="C178" s="94"/>
      <c r="D178" s="94"/>
      <c r="E178" s="94"/>
      <c r="F178" s="94"/>
    </row>
    <row r="179" spans="1:6">
      <c r="A179" s="94"/>
      <c r="B179" s="94"/>
      <c r="C179" s="94"/>
      <c r="D179" s="94"/>
      <c r="E179" s="94"/>
      <c r="F179" s="94"/>
    </row>
    <row r="180" spans="1:6">
      <c r="A180" s="94"/>
      <c r="B180" s="94"/>
      <c r="C180" s="94"/>
      <c r="D180" s="94"/>
      <c r="E180" s="94"/>
      <c r="F180" s="94"/>
    </row>
    <row r="181" spans="1:6">
      <c r="A181" s="94"/>
      <c r="B181" s="94"/>
      <c r="C181" s="94"/>
      <c r="D181" s="94"/>
      <c r="E181" s="94"/>
      <c r="F181" s="94"/>
    </row>
    <row r="182" spans="1:6">
      <c r="A182" s="94"/>
      <c r="B182" s="94"/>
      <c r="C182" s="94"/>
      <c r="D182" s="94"/>
      <c r="E182" s="94"/>
      <c r="F182" s="94"/>
    </row>
    <row r="183" spans="1:6">
      <c r="A183" s="94"/>
      <c r="B183" s="94"/>
      <c r="C183" s="94"/>
      <c r="D183" s="94"/>
      <c r="E183" s="94"/>
      <c r="F183" s="94"/>
    </row>
    <row r="184" spans="1:6">
      <c r="A184" s="94"/>
      <c r="B184" s="94"/>
      <c r="C184" s="94"/>
      <c r="D184" s="94"/>
      <c r="E184" s="94"/>
      <c r="F184" s="94"/>
    </row>
    <row r="185" spans="1:6">
      <c r="A185" s="94"/>
      <c r="B185" s="94"/>
      <c r="C185" s="94"/>
      <c r="D185" s="94"/>
      <c r="E185" s="94"/>
      <c r="F185" s="94"/>
    </row>
    <row r="186" spans="1:6">
      <c r="A186" s="94"/>
      <c r="B186" s="94"/>
      <c r="C186" s="94"/>
      <c r="D186" s="94"/>
      <c r="E186" s="94"/>
      <c r="F186" s="94"/>
    </row>
    <row r="187" spans="1:6">
      <c r="A187" s="94"/>
      <c r="B187" s="94"/>
      <c r="C187" s="94"/>
      <c r="D187" s="94"/>
      <c r="E187" s="94"/>
      <c r="F187" s="94"/>
    </row>
    <row r="188" spans="1:6">
      <c r="A188" s="94"/>
      <c r="B188" s="94"/>
      <c r="C188" s="94"/>
      <c r="D188" s="94"/>
      <c r="E188" s="94"/>
      <c r="F188" s="94"/>
    </row>
    <row r="189" spans="1:6">
      <c r="A189" s="94"/>
      <c r="B189" s="94"/>
      <c r="C189" s="94"/>
      <c r="D189" s="94"/>
      <c r="E189" s="94"/>
      <c r="F189" s="94"/>
    </row>
    <row r="190" spans="1:6">
      <c r="A190" s="94"/>
      <c r="B190" s="94"/>
      <c r="C190" s="94"/>
      <c r="D190" s="94"/>
      <c r="E190" s="94"/>
      <c r="F190" s="94"/>
    </row>
    <row r="191" spans="1:6">
      <c r="A191" s="94"/>
      <c r="B191" s="94"/>
      <c r="C191" s="94"/>
      <c r="D191" s="94"/>
      <c r="E191" s="94"/>
      <c r="F191" s="94"/>
    </row>
    <row r="192" spans="1:6">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c r="B234" s="94"/>
      <c r="C234" s="94"/>
      <c r="D234" s="94"/>
      <c r="E234" s="94"/>
      <c r="F234" s="94"/>
    </row>
    <row r="235" spans="1:6">
      <c r="A235" s="94"/>
      <c r="B235" s="94"/>
      <c r="C235" s="94"/>
      <c r="D235" s="94"/>
      <c r="E235" s="94"/>
      <c r="F235" s="94"/>
    </row>
    <row r="236" spans="1:6">
      <c r="A236" s="94"/>
      <c r="B236" s="94"/>
      <c r="C236" s="94"/>
      <c r="D236" s="94"/>
      <c r="E236" s="94"/>
      <c r="F236" s="94"/>
    </row>
    <row r="237" spans="1:6">
      <c r="A237" s="94"/>
      <c r="B237" s="94"/>
      <c r="C237" s="94"/>
      <c r="D237" s="94"/>
      <c r="E237" s="94"/>
      <c r="F237" s="94"/>
    </row>
    <row r="238" spans="1:6">
      <c r="A238" s="94"/>
      <c r="B238" s="94"/>
      <c r="C238" s="94"/>
      <c r="D238" s="94"/>
      <c r="E238" s="94"/>
      <c r="F238" s="94"/>
    </row>
    <row r="239" spans="1:6">
      <c r="A239" s="94"/>
    </row>
    <row r="240" spans="1:6">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c r="C273" t="s">
        <v>25</v>
      </c>
    </row>
    <row r="274" spans="1:3">
      <c r="A274" s="94"/>
    </row>
    <row r="275" spans="1:3">
      <c r="A275" s="94"/>
    </row>
    <row r="276" spans="1:3">
      <c r="A276" s="94"/>
    </row>
    <row r="277" spans="1:3">
      <c r="A277" s="94"/>
    </row>
    <row r="278" spans="1:3">
      <c r="A278" s="94"/>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5091</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5093</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5094</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5096</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5099</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5143</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5151</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5154</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5155</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5158</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5092</v>
      </c>
      <c r="J190" s="186">
        <f>L190-L189+4000000</f>
        <v>-1393565</v>
      </c>
      <c r="K190" s="187" t="s">
        <v>5091</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5093</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5094</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5096</v>
      </c>
      <c r="L194" s="246">
        <v>901275329</v>
      </c>
      <c r="M194" s="246">
        <v>583098793</v>
      </c>
      <c r="N194" s="115">
        <f>L194+M194</f>
        <v>1484374122</v>
      </c>
      <c r="O194" s="115">
        <f t="shared" si="19"/>
        <v>-3486217</v>
      </c>
      <c r="P194" s="115">
        <f>N194-N193</f>
        <v>-18861608</v>
      </c>
      <c r="Q194" s="225">
        <v>0</v>
      </c>
    </row>
    <row r="195" spans="9:17">
      <c r="I195" s="187" t="s">
        <v>5101</v>
      </c>
      <c r="J195" s="186">
        <f>L195-L194-150000</f>
        <v>17593478</v>
      </c>
      <c r="K195" s="187" t="s">
        <v>5099</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5102</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5103</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5108</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5133</v>
      </c>
      <c r="L199" s="82">
        <v>992076311</v>
      </c>
      <c r="M199" s="82">
        <v>638214788</v>
      </c>
      <c r="N199" s="216">
        <f t="shared" si="15"/>
        <v>1630291099</v>
      </c>
      <c r="O199" s="111">
        <f t="shared" si="19"/>
        <v>470124</v>
      </c>
      <c r="P199" s="111">
        <f t="shared" si="20"/>
        <v>12547575</v>
      </c>
      <c r="Q199" s="225">
        <v>0</v>
      </c>
    </row>
    <row r="200" spans="9:17">
      <c r="I200" s="187" t="s">
        <v>5138</v>
      </c>
      <c r="J200" s="186">
        <f>L200-L199-400000</f>
        <v>-7612896</v>
      </c>
      <c r="K200" s="187" t="s">
        <v>5135</v>
      </c>
      <c r="L200" s="233">
        <v>984863415</v>
      </c>
      <c r="M200" s="233">
        <v>632226484</v>
      </c>
      <c r="N200" s="186">
        <f t="shared" si="15"/>
        <v>1617089899</v>
      </c>
      <c r="O200" s="186">
        <f t="shared" si="19"/>
        <v>-5988304</v>
      </c>
      <c r="P200" s="186">
        <f>N200-N199-400000</f>
        <v>-13601200</v>
      </c>
      <c r="Q200" s="225">
        <v>400000</v>
      </c>
    </row>
    <row r="201" spans="9:17">
      <c r="I201" s="213" t="s">
        <v>5141</v>
      </c>
      <c r="J201" s="240">
        <f>L201-L200+100000</f>
        <v>12509920</v>
      </c>
      <c r="K201" s="213" t="s">
        <v>5139</v>
      </c>
      <c r="L201" s="241">
        <v>997273335</v>
      </c>
      <c r="M201" s="241">
        <v>639479822</v>
      </c>
      <c r="N201" s="216">
        <f t="shared" si="15"/>
        <v>1636753157</v>
      </c>
      <c r="O201" s="240">
        <f t="shared" si="19"/>
        <v>7253338</v>
      </c>
      <c r="P201" s="240">
        <f>N201-N200+100000</f>
        <v>19763258</v>
      </c>
      <c r="Q201" s="225">
        <v>-100000</v>
      </c>
    </row>
    <row r="202" spans="9:17">
      <c r="I202" s="187" t="s">
        <v>5144</v>
      </c>
      <c r="J202" s="186">
        <f>L202-L201-10000000</f>
        <v>-2265988</v>
      </c>
      <c r="K202" s="187" t="s">
        <v>5143</v>
      </c>
      <c r="L202" s="233">
        <v>1005007347</v>
      </c>
      <c r="M202" s="233">
        <v>636084938</v>
      </c>
      <c r="N202" s="186">
        <f t="shared" si="15"/>
        <v>1641092285</v>
      </c>
      <c r="O202" s="186">
        <f t="shared" si="19"/>
        <v>-3394884</v>
      </c>
      <c r="P202" s="186">
        <f>N202-N201-10000000</f>
        <v>-5660872</v>
      </c>
      <c r="Q202" s="225">
        <v>10000000</v>
      </c>
    </row>
    <row r="203" spans="9:17">
      <c r="I203" s="213" t="s">
        <v>5149</v>
      </c>
      <c r="J203" s="240">
        <f>L203-L202+400000</f>
        <v>8061336</v>
      </c>
      <c r="K203" s="213" t="s">
        <v>5148</v>
      </c>
      <c r="L203" s="241">
        <v>1012668683</v>
      </c>
      <c r="M203" s="241">
        <v>641491326</v>
      </c>
      <c r="N203" s="216">
        <f t="shared" si="15"/>
        <v>1654160009</v>
      </c>
      <c r="O203" s="240">
        <f t="shared" si="19"/>
        <v>5406388</v>
      </c>
      <c r="P203" s="240">
        <f>N203-N202+400000</f>
        <v>13467724</v>
      </c>
      <c r="Q203" s="225">
        <v>-400000</v>
      </c>
    </row>
    <row r="204" spans="9:17">
      <c r="I204" s="213" t="s">
        <v>5150</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5151</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5154</v>
      </c>
      <c r="L206" s="82">
        <v>991102717</v>
      </c>
      <c r="M206" s="82">
        <v>623731041</v>
      </c>
      <c r="N206" s="111">
        <f t="shared" si="22"/>
        <v>1614833758</v>
      </c>
      <c r="O206" s="111">
        <f>M206-M205</f>
        <v>-2790917</v>
      </c>
      <c r="P206" s="111">
        <f>N206-N205</f>
        <v>-6391417</v>
      </c>
      <c r="Q206" s="225">
        <v>0</v>
      </c>
    </row>
    <row r="207" spans="9:17">
      <c r="I207" s="187" t="s">
        <v>5157</v>
      </c>
      <c r="J207" s="186">
        <f>L207-L206-1300000</f>
        <v>-17889835</v>
      </c>
      <c r="K207" s="187" t="s">
        <v>5155</v>
      </c>
      <c r="L207" s="233">
        <v>974512882</v>
      </c>
      <c r="M207" s="233">
        <v>611227725</v>
      </c>
      <c r="N207" s="186">
        <f t="shared" si="22"/>
        <v>1585740607</v>
      </c>
      <c r="O207" s="186">
        <f>M207-M206-230000</f>
        <v>-12733316</v>
      </c>
      <c r="P207" s="186">
        <f>N207-N206-1530000</f>
        <v>-30623151</v>
      </c>
      <c r="Q207" s="225">
        <v>1530000</v>
      </c>
    </row>
    <row r="208" spans="9:17">
      <c r="I208" s="213" t="s">
        <v>5159</v>
      </c>
      <c r="J208" s="240">
        <f>L208-L207-230000</f>
        <v>26666770</v>
      </c>
      <c r="K208" s="213" t="s">
        <v>5158</v>
      </c>
      <c r="L208" s="241">
        <v>1001409652</v>
      </c>
      <c r="M208" s="241">
        <v>627313031</v>
      </c>
      <c r="N208" s="240">
        <f t="shared" si="22"/>
        <v>1628722683</v>
      </c>
      <c r="O208" s="240">
        <f>M208-M207+880000</f>
        <v>16965306</v>
      </c>
      <c r="P208" s="240">
        <f>N208-N207</f>
        <v>42982076</v>
      </c>
      <c r="Q208" s="225">
        <v>-650000</v>
      </c>
    </row>
    <row r="209" spans="9:19">
      <c r="I209" s="187" t="s">
        <v>5160</v>
      </c>
      <c r="J209" s="186">
        <f>L209-L208-880000</f>
        <v>38363123</v>
      </c>
      <c r="K209" s="187" t="s">
        <v>5161</v>
      </c>
      <c r="L209" s="233">
        <v>1040652775</v>
      </c>
      <c r="M209" s="233">
        <v>653526288</v>
      </c>
      <c r="N209" s="216">
        <f t="shared" si="22"/>
        <v>1694179063</v>
      </c>
      <c r="O209" s="186">
        <f>M209-M208</f>
        <v>26213257</v>
      </c>
      <c r="P209" s="186">
        <f>N209-N208-880000</f>
        <v>64576380</v>
      </c>
      <c r="Q209" s="225">
        <v>880000</v>
      </c>
    </row>
    <row r="210" spans="9:19">
      <c r="I210" s="213" t="s">
        <v>5164</v>
      </c>
      <c r="J210" s="240">
        <f>L210-L209+900000</f>
        <v>20298534</v>
      </c>
      <c r="K210" s="213" t="s">
        <v>5162</v>
      </c>
      <c r="L210" s="241">
        <v>1060051309</v>
      </c>
      <c r="M210" s="241">
        <v>663872836</v>
      </c>
      <c r="N210" s="216">
        <f t="shared" si="22"/>
        <v>1723924145</v>
      </c>
      <c r="O210" s="240">
        <f>M210-M209-200000</f>
        <v>10146548</v>
      </c>
      <c r="P210" s="240">
        <f>N210-N209+700000</f>
        <v>30445082</v>
      </c>
      <c r="Q210" s="225">
        <v>-700000</v>
      </c>
    </row>
    <row r="211" spans="9:19">
      <c r="I211" s="187" t="s">
        <v>5165</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5166</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5167</v>
      </c>
      <c r="J213" s="111">
        <f>L213-L212+800000</f>
        <v>15351721</v>
      </c>
      <c r="K213" s="210" t="s">
        <v>5168</v>
      </c>
      <c r="L213" s="82">
        <v>1017597520</v>
      </c>
      <c r="M213" s="82">
        <v>638870084</v>
      </c>
      <c r="N213" s="111">
        <f t="shared" si="22"/>
        <v>1656467604</v>
      </c>
      <c r="O213" s="111">
        <f>M213-M212+10000000</f>
        <v>14214313</v>
      </c>
      <c r="P213" s="111">
        <f>N213-N212+10800000</f>
        <v>29566034</v>
      </c>
      <c r="Q213" s="225">
        <v>-10800000</v>
      </c>
    </row>
    <row r="214" spans="9:19">
      <c r="I214" s="213" t="s">
        <v>5174</v>
      </c>
      <c r="J214" s="240">
        <f t="shared" si="21"/>
        <v>-18127600</v>
      </c>
      <c r="K214" s="213" t="s">
        <v>5170</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5175</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5177</v>
      </c>
      <c r="J217" s="240">
        <f>L217-L216-50000</f>
        <v>-3947893</v>
      </c>
      <c r="K217" s="213" t="s">
        <v>5176</v>
      </c>
      <c r="L217" s="241">
        <v>1010326365</v>
      </c>
      <c r="M217" s="241">
        <v>632690003</v>
      </c>
      <c r="N217" s="240">
        <f t="shared" si="23"/>
        <v>1643016368</v>
      </c>
      <c r="O217" s="240">
        <f t="shared" si="24"/>
        <v>-2811879</v>
      </c>
      <c r="P217" s="240">
        <f>N217-N216-50000</f>
        <v>-6759772</v>
      </c>
      <c r="Q217" s="225">
        <v>50000</v>
      </c>
    </row>
    <row r="218" spans="9:19">
      <c r="I218" s="213" t="s">
        <v>5179</v>
      </c>
      <c r="J218" s="240">
        <f>L218-L217-400000</f>
        <v>-7352281</v>
      </c>
      <c r="K218" s="213" t="s">
        <v>5181</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5183</v>
      </c>
      <c r="L219" s="82">
        <v>999517682</v>
      </c>
      <c r="M219" s="82">
        <v>627640361</v>
      </c>
      <c r="N219" s="111">
        <f t="shared" si="23"/>
        <v>1627158043</v>
      </c>
      <c r="O219" s="111">
        <f t="shared" si="24"/>
        <v>-1762209</v>
      </c>
      <c r="P219" s="111">
        <f t="shared" si="25"/>
        <v>-5618611</v>
      </c>
      <c r="Q219" s="225">
        <v>0</v>
      </c>
    </row>
    <row r="220" spans="9:19">
      <c r="I220" s="187" t="s">
        <v>5185</v>
      </c>
      <c r="J220" s="186">
        <f t="shared" si="21"/>
        <v>30762624</v>
      </c>
      <c r="K220" s="187" t="s">
        <v>5184</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5153</v>
      </c>
      <c r="L221" s="82">
        <v>1013932649</v>
      </c>
      <c r="M221" s="82">
        <v>635152182</v>
      </c>
      <c r="N221" s="111">
        <f t="shared" si="23"/>
        <v>1649084831</v>
      </c>
      <c r="O221" s="111">
        <f t="shared" si="24"/>
        <v>-10386048</v>
      </c>
      <c r="P221" s="111">
        <f t="shared" si="25"/>
        <v>-26733705</v>
      </c>
      <c r="Q221" s="225">
        <v>0</v>
      </c>
    </row>
    <row r="222" spans="9:19">
      <c r="I222" s="268" t="s">
        <v>5189</v>
      </c>
      <c r="J222" s="269">
        <f>L222-L221+7000000</f>
        <v>4431891</v>
      </c>
      <c r="K222" s="268" t="s">
        <v>5190</v>
      </c>
      <c r="L222" s="270">
        <v>1011364540</v>
      </c>
      <c r="M222" s="270">
        <v>634014280</v>
      </c>
      <c r="N222" s="269">
        <f t="shared" si="23"/>
        <v>1645378820</v>
      </c>
      <c r="O222" s="269">
        <f t="shared" si="24"/>
        <v>-1137902</v>
      </c>
      <c r="P222" s="269">
        <f>N222-N221+7000000</f>
        <v>3293989</v>
      </c>
      <c r="Q222" s="225">
        <v>-7000000</v>
      </c>
    </row>
    <row r="223" spans="9:19">
      <c r="I223" s="213" t="s">
        <v>5192</v>
      </c>
      <c r="J223" s="240">
        <f t="shared" si="21"/>
        <v>-12364540</v>
      </c>
      <c r="K223" s="213" t="s">
        <v>5191</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5193</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5194</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5195</v>
      </c>
      <c r="L226" s="82">
        <v>995000000</v>
      </c>
      <c r="M226" s="82">
        <v>625000000</v>
      </c>
      <c r="N226" s="111">
        <f t="shared" si="23"/>
        <v>1620000000</v>
      </c>
      <c r="O226" s="111">
        <f t="shared" si="24"/>
        <v>-2621912</v>
      </c>
      <c r="P226" s="111">
        <f t="shared" si="25"/>
        <v>-8262288</v>
      </c>
      <c r="Q226" s="225">
        <v>0</v>
      </c>
    </row>
    <row r="227" spans="9:19">
      <c r="I227" s="187" t="s">
        <v>5196</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5198</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5199</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5200</v>
      </c>
      <c r="L230" s="82">
        <v>981346829</v>
      </c>
      <c r="M230" s="82">
        <v>616768631</v>
      </c>
      <c r="N230" s="111">
        <f>L230+M230</f>
        <v>1598115460</v>
      </c>
      <c r="O230" s="111">
        <f t="shared" si="24"/>
        <v>-231369</v>
      </c>
      <c r="P230" s="111">
        <f t="shared" si="25"/>
        <v>-2584540</v>
      </c>
      <c r="Q230" s="225">
        <v>0</v>
      </c>
    </row>
    <row r="231" spans="9:19">
      <c r="I231" s="187" t="s">
        <v>5202</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5201</v>
      </c>
      <c r="L232" s="82">
        <v>982764273</v>
      </c>
      <c r="M232" s="82">
        <v>618232370</v>
      </c>
      <c r="N232" s="111">
        <f t="shared" si="23"/>
        <v>1600996643</v>
      </c>
      <c r="O232" s="111">
        <f t="shared" si="24"/>
        <v>9817180</v>
      </c>
      <c r="P232" s="111">
        <f t="shared" si="25"/>
        <v>27833689</v>
      </c>
      <c r="Q232" s="225">
        <v>0</v>
      </c>
    </row>
    <row r="233" spans="9:19">
      <c r="I233" s="187" t="s">
        <v>5204</v>
      </c>
      <c r="J233" s="186">
        <f>L233-L232+990760</f>
        <v>270597</v>
      </c>
      <c r="K233" s="187" t="s">
        <v>5203</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5205</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5206</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5209</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5210</v>
      </c>
      <c r="L237" s="82">
        <v>973935836</v>
      </c>
      <c r="M237" s="82">
        <v>612781866</v>
      </c>
      <c r="N237" s="111">
        <f t="shared" si="23"/>
        <v>1586717702</v>
      </c>
      <c r="O237" s="111">
        <f t="shared" si="24"/>
        <v>-4703074</v>
      </c>
      <c r="P237" s="111">
        <f t="shared" si="25"/>
        <v>-14274043</v>
      </c>
      <c r="Q237" s="225">
        <v>0</v>
      </c>
    </row>
    <row r="238" spans="9:19">
      <c r="I238" s="213" t="s">
        <v>5212</v>
      </c>
      <c r="J238" s="240">
        <f>L238-L237-101268</f>
        <v>10034013</v>
      </c>
      <c r="K238" s="213" t="s">
        <v>5211</v>
      </c>
      <c r="L238" s="241">
        <v>984071117</v>
      </c>
      <c r="M238" s="241">
        <v>619527192</v>
      </c>
      <c r="N238" s="240">
        <f t="shared" si="23"/>
        <v>1603598309</v>
      </c>
      <c r="O238" s="240">
        <f t="shared" si="24"/>
        <v>6745326</v>
      </c>
      <c r="P238" s="240">
        <f>N238-N237-101268</f>
        <v>16779339</v>
      </c>
      <c r="Q238" s="225">
        <v>101268</v>
      </c>
    </row>
    <row r="239" spans="9:19">
      <c r="I239" s="271" t="s">
        <v>5213</v>
      </c>
      <c r="J239" s="92">
        <f>L239-L238-101000</f>
        <v>-5512506</v>
      </c>
      <c r="K239" s="271" t="s">
        <v>5214</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5215</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5217</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5219</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5220</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5221</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5224</v>
      </c>
      <c r="L246" s="82">
        <v>998587209</v>
      </c>
      <c r="M246" s="82">
        <v>628989460</v>
      </c>
      <c r="N246" s="111">
        <f t="shared" si="27"/>
        <v>1627576669</v>
      </c>
      <c r="O246" s="111">
        <f t="shared" si="28"/>
        <v>-386804</v>
      </c>
      <c r="P246" s="111">
        <f t="shared" si="28"/>
        <v>-378799</v>
      </c>
      <c r="Q246" s="225">
        <v>0</v>
      </c>
    </row>
    <row r="247" spans="9:19">
      <c r="I247" s="187" t="s">
        <v>5226</v>
      </c>
      <c r="J247" s="186">
        <f t="shared" si="26"/>
        <v>57939414</v>
      </c>
      <c r="K247" s="187" t="s">
        <v>5225</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5227</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5228</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5229</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5230</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5231</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5232</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5233</v>
      </c>
      <c r="L255" s="82">
        <v>1154946925</v>
      </c>
      <c r="M255" s="82">
        <v>724493233</v>
      </c>
      <c r="N255" s="216">
        <f t="shared" si="31"/>
        <v>1879440158</v>
      </c>
      <c r="O255" s="111">
        <f t="shared" si="32"/>
        <v>3771085</v>
      </c>
      <c r="P255" s="111">
        <f t="shared" si="33"/>
        <v>9561690</v>
      </c>
      <c r="Q255" s="225">
        <v>0</v>
      </c>
    </row>
    <row r="256" spans="9:19">
      <c r="I256" s="210" t="s">
        <v>5234</v>
      </c>
      <c r="J256" s="111">
        <f t="shared" si="30"/>
        <v>40761008</v>
      </c>
      <c r="K256" s="210" t="s">
        <v>5235</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5237</v>
      </c>
      <c r="L257" s="82">
        <v>1204397532</v>
      </c>
      <c r="M257" s="82">
        <v>768290500</v>
      </c>
      <c r="N257" s="216">
        <f t="shared" si="31"/>
        <v>1972688032</v>
      </c>
      <c r="O257" s="111">
        <f t="shared" si="32"/>
        <v>4065339</v>
      </c>
      <c r="P257" s="111">
        <f t="shared" si="33"/>
        <v>12754938</v>
      </c>
      <c r="Q257" s="225">
        <v>0</v>
      </c>
    </row>
    <row r="258" spans="9:19">
      <c r="I258" s="187" t="s">
        <v>5240</v>
      </c>
      <c r="J258" s="186">
        <f>L258-L257+488602</f>
        <v>5275127</v>
      </c>
      <c r="K258" s="187" t="s">
        <v>5238</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5239</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5242</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5247</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5253</v>
      </c>
      <c r="L262" s="82">
        <v>1153433035</v>
      </c>
      <c r="M262" s="82">
        <v>736240181</v>
      </c>
      <c r="N262" s="111">
        <f t="shared" si="31"/>
        <v>1889673216</v>
      </c>
      <c r="O262" s="111">
        <f t="shared" si="32"/>
        <v>-19759819</v>
      </c>
      <c r="P262" s="111">
        <f t="shared" si="33"/>
        <v>-46326784</v>
      </c>
      <c r="Q262" s="225">
        <v>0</v>
      </c>
    </row>
    <row r="263" spans="9:19">
      <c r="I263" s="213" t="s">
        <v>5255</v>
      </c>
      <c r="J263" s="240">
        <f>L263-L262-360000</f>
        <v>-33793035</v>
      </c>
      <c r="K263" s="213" t="s">
        <v>5254</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5256</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5259</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5260</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5261</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5265</v>
      </c>
      <c r="J268" s="186">
        <f>L268-L267+3600000</f>
        <v>6784521</v>
      </c>
      <c r="K268" s="187" t="s">
        <v>5262</v>
      </c>
      <c r="L268" s="233">
        <v>1227517149</v>
      </c>
      <c r="M268" s="233">
        <v>781946723</v>
      </c>
      <c r="N268" s="216">
        <f>L268+M268</f>
        <v>2009463872</v>
      </c>
      <c r="O268" s="186">
        <f t="shared" si="36"/>
        <v>648802</v>
      </c>
      <c r="P268" s="186">
        <f>N268-N267+3600000</f>
        <v>7433323</v>
      </c>
      <c r="Q268" s="225">
        <v>-3600000</v>
      </c>
    </row>
    <row r="269" spans="9:19">
      <c r="I269" s="213" t="s">
        <v>5267</v>
      </c>
      <c r="J269" s="240">
        <f t="shared" si="34"/>
        <v>8668842</v>
      </c>
      <c r="K269" s="213" t="s">
        <v>5264</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5270</v>
      </c>
      <c r="L270" s="82">
        <v>1295586377</v>
      </c>
      <c r="M270" s="82">
        <v>830602955</v>
      </c>
      <c r="N270" s="216">
        <f t="shared" si="35"/>
        <v>2126189332</v>
      </c>
      <c r="O270" s="111">
        <f t="shared" si="36"/>
        <v>39667491</v>
      </c>
      <c r="P270" s="111">
        <f>N270-N269</f>
        <v>99067877</v>
      </c>
      <c r="Q270" s="225">
        <v>0</v>
      </c>
    </row>
    <row r="271" spans="9:19">
      <c r="I271" s="187" t="s">
        <v>5272</v>
      </c>
      <c r="J271" s="186">
        <f>L271-L270+1000000</f>
        <v>21062163</v>
      </c>
      <c r="K271" s="187" t="s">
        <v>5271</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5274</v>
      </c>
      <c r="L272" s="82">
        <v>1290000000</v>
      </c>
      <c r="M272" s="82">
        <v>830000000</v>
      </c>
      <c r="N272" s="111">
        <f t="shared" si="35"/>
        <v>2120000000</v>
      </c>
      <c r="O272" s="111">
        <f t="shared" si="36"/>
        <v>-7889920</v>
      </c>
      <c r="P272" s="111">
        <f>N272-N271</f>
        <v>-33538460</v>
      </c>
    </row>
    <row r="273" spans="4:23">
      <c r="I273" s="210"/>
      <c r="J273" s="111">
        <f t="shared" si="34"/>
        <v>5173477</v>
      </c>
      <c r="K273" s="210" t="s">
        <v>5277</v>
      </c>
      <c r="L273" s="82">
        <v>1295173477</v>
      </c>
      <c r="M273" s="82">
        <v>832119130</v>
      </c>
      <c r="N273" s="111">
        <f t="shared" si="35"/>
        <v>2127292607</v>
      </c>
      <c r="O273" s="111">
        <f t="shared" si="36"/>
        <v>2119130</v>
      </c>
      <c r="P273" s="111">
        <f>N273-N272</f>
        <v>7292607</v>
      </c>
    </row>
    <row r="274" spans="4:23">
      <c r="D274" t="s">
        <v>25</v>
      </c>
      <c r="I274" s="213" t="s">
        <v>5255</v>
      </c>
      <c r="J274" s="240">
        <f>L274-L273-360000</f>
        <v>-3379409</v>
      </c>
      <c r="K274" s="213" t="s">
        <v>5278</v>
      </c>
      <c r="L274" s="241">
        <v>1292154068</v>
      </c>
      <c r="M274" s="241">
        <v>833033746</v>
      </c>
      <c r="N274" s="240">
        <f t="shared" si="35"/>
        <v>2125187814</v>
      </c>
      <c r="O274" s="240">
        <f t="shared" si="36"/>
        <v>914616</v>
      </c>
      <c r="P274" s="240">
        <f>N274-N273-360000</f>
        <v>-2464793</v>
      </c>
      <c r="Q274" s="225">
        <v>360000</v>
      </c>
    </row>
    <row r="275" spans="4:23">
      <c r="I275" s="213" t="s">
        <v>5282</v>
      </c>
      <c r="J275" s="240">
        <f>L275-L274-2000000</f>
        <v>-22946012</v>
      </c>
      <c r="K275" s="213" t="s">
        <v>5281</v>
      </c>
      <c r="L275" s="241">
        <v>1271208056</v>
      </c>
      <c r="M275" s="241">
        <v>825161254</v>
      </c>
      <c r="N275" s="240">
        <f t="shared" si="35"/>
        <v>2096369310</v>
      </c>
      <c r="O275" s="240">
        <f t="shared" si="36"/>
        <v>-7872492</v>
      </c>
      <c r="P275" s="240">
        <f>N275-N274-2000000</f>
        <v>-30818504</v>
      </c>
      <c r="Q275" s="225">
        <v>2000000</v>
      </c>
    </row>
    <row r="276" spans="4:23">
      <c r="I276" s="213" t="s">
        <v>5284</v>
      </c>
      <c r="J276" s="240">
        <f>L276-L275-15300000</f>
        <v>32802006</v>
      </c>
      <c r="K276" s="213" t="s">
        <v>5283</v>
      </c>
      <c r="L276" s="241">
        <v>1319310062</v>
      </c>
      <c r="M276" s="241">
        <v>846171439</v>
      </c>
      <c r="N276" s="240">
        <f t="shared" si="35"/>
        <v>2165481501</v>
      </c>
      <c r="O276" s="240">
        <f>M276-M275-200000</f>
        <v>20810185</v>
      </c>
      <c r="P276" s="240">
        <f>N276-N275-15500000</f>
        <v>53612191</v>
      </c>
      <c r="Q276" s="225">
        <v>15500000</v>
      </c>
    </row>
    <row r="277" spans="4:23">
      <c r="I277" s="213" t="s">
        <v>5287</v>
      </c>
      <c r="J277" s="240">
        <f>L277-L276-3000000</f>
        <v>12429762</v>
      </c>
      <c r="K277" s="213" t="s">
        <v>5286</v>
      </c>
      <c r="L277" s="241">
        <v>1334739824</v>
      </c>
      <c r="M277" s="241">
        <v>848815156</v>
      </c>
      <c r="N277" s="216">
        <f t="shared" si="35"/>
        <v>2183554980</v>
      </c>
      <c r="O277" s="240">
        <f>M277-M276-50000</f>
        <v>2593717</v>
      </c>
      <c r="P277" s="240">
        <f>N277-N276-3050000</f>
        <v>15023479</v>
      </c>
      <c r="Q277" s="225">
        <v>3050000</v>
      </c>
    </row>
    <row r="278" spans="4:23">
      <c r="I278" s="213" t="s">
        <v>5289</v>
      </c>
      <c r="J278" s="240">
        <f>L278-L277-1680000</f>
        <v>-15903030</v>
      </c>
      <c r="K278" s="213" t="s">
        <v>5288</v>
      </c>
      <c r="L278" s="241">
        <v>1320516794</v>
      </c>
      <c r="M278" s="241">
        <v>834312363</v>
      </c>
      <c r="N278" s="240">
        <f t="shared" si="35"/>
        <v>2154829157</v>
      </c>
      <c r="O278" s="240">
        <f>M278-M277-100000</f>
        <v>-14602793</v>
      </c>
      <c r="P278" s="240">
        <f>N278-N277-1600000</f>
        <v>-30325823</v>
      </c>
      <c r="Q278" s="225">
        <v>1780000</v>
      </c>
      <c r="S278" t="s">
        <v>25</v>
      </c>
    </row>
    <row r="279" spans="4:23">
      <c r="I279" s="213" t="s">
        <v>5291</v>
      </c>
      <c r="J279" s="240">
        <f>L279-L278-30000000</f>
        <v>3387493</v>
      </c>
      <c r="K279" s="213" t="s">
        <v>5290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5296</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5303</v>
      </c>
      <c r="L284" s="82">
        <v>1473439379</v>
      </c>
      <c r="M284" s="82">
        <v>906774030</v>
      </c>
      <c r="N284" s="216">
        <f t="shared" si="38"/>
        <v>2380213409</v>
      </c>
      <c r="O284" s="111">
        <f t="shared" si="39"/>
        <v>14380845</v>
      </c>
      <c r="P284" s="111">
        <f t="shared" si="40"/>
        <v>32061881</v>
      </c>
      <c r="Q284" s="225">
        <v>0</v>
      </c>
    </row>
    <row r="285" spans="4:23">
      <c r="I285" s="187" t="s">
        <v>5306</v>
      </c>
      <c r="J285" s="186">
        <f t="shared" si="37"/>
        <v>4331396</v>
      </c>
      <c r="K285" s="187" t="s">
        <v>5304</v>
      </c>
      <c r="L285" s="233">
        <v>1477770775</v>
      </c>
      <c r="M285" s="233">
        <v>915475851</v>
      </c>
      <c r="N285" s="216">
        <f t="shared" si="38"/>
        <v>2393246626</v>
      </c>
      <c r="O285" s="186">
        <f>M285-M284+550000</f>
        <v>9251821</v>
      </c>
      <c r="P285" s="186">
        <f>N285-N284+550000</f>
        <v>13583217</v>
      </c>
      <c r="Q285" s="225">
        <v>-550000</v>
      </c>
    </row>
    <row r="286" spans="4:23">
      <c r="I286" s="187" t="s">
        <v>5310</v>
      </c>
      <c r="J286" s="186">
        <f t="shared" si="37"/>
        <v>39081054</v>
      </c>
      <c r="K286" s="187" t="s">
        <v>5308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5309</v>
      </c>
      <c r="L287" s="82">
        <v>1560436105</v>
      </c>
      <c r="M287" s="82">
        <v>940791901</v>
      </c>
      <c r="N287" s="216">
        <f t="shared" si="38"/>
        <v>2501228006</v>
      </c>
      <c r="O287" s="111">
        <f t="shared" si="39"/>
        <v>35665189</v>
      </c>
      <c r="P287" s="111">
        <f t="shared" si="40"/>
        <v>79249465</v>
      </c>
      <c r="Q287" s="225">
        <v>0</v>
      </c>
    </row>
    <row r="288" spans="4:23">
      <c r="I288" s="187" t="s">
        <v>5318</v>
      </c>
      <c r="J288" s="186">
        <f t="shared" si="37"/>
        <v>83455296</v>
      </c>
      <c r="K288" s="187" t="s">
        <v>5317</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5320</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5324</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5330</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5339</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5362</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5361</v>
      </c>
      <c r="L294" s="82">
        <v>1775456973</v>
      </c>
      <c r="M294" s="82">
        <v>1056375788</v>
      </c>
      <c r="N294" s="216">
        <f t="shared" si="38"/>
        <v>2831832761</v>
      </c>
      <c r="O294" s="111">
        <f t="shared" si="39"/>
        <v>11375788</v>
      </c>
      <c r="P294" s="111">
        <f t="shared" si="40"/>
        <v>26832761</v>
      </c>
      <c r="Q294" s="225">
        <v>0</v>
      </c>
    </row>
    <row r="295" spans="9:21">
      <c r="I295" s="210" t="s">
        <v>5371</v>
      </c>
      <c r="J295" s="111">
        <f>L295-L294-3000000</f>
        <v>19422686</v>
      </c>
      <c r="K295" s="210" t="s">
        <v>5365</v>
      </c>
      <c r="L295" s="82">
        <v>1797879659</v>
      </c>
      <c r="M295" s="82">
        <v>1054864328</v>
      </c>
      <c r="N295" s="216">
        <f t="shared" si="38"/>
        <v>2852743987</v>
      </c>
      <c r="O295" s="111">
        <f t="shared" si="39"/>
        <v>-1511460</v>
      </c>
      <c r="P295" s="111">
        <f>N295-N294-3000000</f>
        <v>17911226</v>
      </c>
      <c r="Q295" s="225">
        <v>3000000</v>
      </c>
    </row>
    <row r="296" spans="9:21">
      <c r="I296" s="213" t="s">
        <v>5372</v>
      </c>
      <c r="J296" s="240">
        <f>L296-L295-7000000</f>
        <v>-47124934</v>
      </c>
      <c r="K296" s="213" t="s">
        <v>5366</v>
      </c>
      <c r="L296" s="241">
        <v>1757754725</v>
      </c>
      <c r="M296" s="241">
        <v>1037677810</v>
      </c>
      <c r="N296" s="240">
        <f t="shared" si="38"/>
        <v>2795432535</v>
      </c>
      <c r="O296" s="240">
        <f>M296-M295+4190000</f>
        <v>-12996518</v>
      </c>
      <c r="P296" s="240">
        <f>N296-N295+4190000-7000000</f>
        <v>-60121452</v>
      </c>
      <c r="Q296" s="225">
        <v>2810000</v>
      </c>
    </row>
    <row r="297" spans="9:21">
      <c r="I297" s="213" t="s">
        <v>5381</v>
      </c>
      <c r="J297" s="240">
        <f t="shared" si="37"/>
        <v>-53501669</v>
      </c>
      <c r="K297" s="213" t="s">
        <v>5374</v>
      </c>
      <c r="L297" s="241">
        <v>1704253056</v>
      </c>
      <c r="M297" s="241">
        <v>973497834</v>
      </c>
      <c r="N297" s="240">
        <f t="shared" si="38"/>
        <v>2677750890</v>
      </c>
      <c r="O297" s="240">
        <f>M297-M296+26000000</f>
        <v>-38179976</v>
      </c>
      <c r="P297" s="240">
        <f>N297-N296+26000000</f>
        <v>-91681645</v>
      </c>
      <c r="Q297" s="225">
        <v>-26000000</v>
      </c>
    </row>
    <row r="298" spans="9:21">
      <c r="I298" s="213" t="s">
        <v>5383</v>
      </c>
      <c r="J298" s="240">
        <f>L298-L297-8800000</f>
        <v>26691445</v>
      </c>
      <c r="K298" s="213" t="s">
        <v>5379</v>
      </c>
      <c r="L298" s="241">
        <v>1739744501</v>
      </c>
      <c r="M298" s="241">
        <v>914540569</v>
      </c>
      <c r="N298" s="240">
        <f t="shared" si="38"/>
        <v>2654285070</v>
      </c>
      <c r="O298" s="240">
        <f>M298-M297+81800000</f>
        <v>22842735</v>
      </c>
      <c r="P298" s="240">
        <f>N298-N297+73000000</f>
        <v>49534180</v>
      </c>
      <c r="Q298" s="225">
        <v>-73000000</v>
      </c>
    </row>
    <row r="299" spans="9:21">
      <c r="I299" s="213" t="s">
        <v>5386</v>
      </c>
      <c r="J299" s="240">
        <f t="shared" si="37"/>
        <v>32696702</v>
      </c>
      <c r="K299" s="213" t="s">
        <v>5380</v>
      </c>
      <c r="L299" s="241">
        <v>1772441203</v>
      </c>
      <c r="M299" s="241">
        <v>900025831</v>
      </c>
      <c r="N299" s="240">
        <f t="shared" si="38"/>
        <v>2672467034</v>
      </c>
      <c r="O299" s="240">
        <f>M299-M298+34000000</f>
        <v>19485262</v>
      </c>
      <c r="P299" s="240">
        <f>N299-N298+34000000</f>
        <v>52181964</v>
      </c>
      <c r="Q299" s="225">
        <v>-34000000</v>
      </c>
    </row>
    <row r="300" spans="9:21">
      <c r="I300" s="187" t="s">
        <v>5388</v>
      </c>
      <c r="J300" s="186">
        <f>L300-L299-40000000</f>
        <v>74215198</v>
      </c>
      <c r="K300" s="187" t="s">
        <v>5384</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5192</v>
      </c>
      <c r="J301" s="186">
        <f t="shared" si="37"/>
        <v>39912599</v>
      </c>
      <c r="K301" s="187" t="s">
        <v>5385</v>
      </c>
      <c r="L301" s="233">
        <v>1926569000</v>
      </c>
      <c r="M301" s="233">
        <v>959442000</v>
      </c>
      <c r="N301" s="216">
        <f t="shared" si="38"/>
        <v>2886011000</v>
      </c>
      <c r="O301" s="186">
        <f>M301-M300-300000</f>
        <v>21646377</v>
      </c>
      <c r="P301" s="186">
        <f>N301-N300-300000</f>
        <v>61558976</v>
      </c>
      <c r="Q301" s="225">
        <v>300000</v>
      </c>
    </row>
    <row r="302" spans="9:21">
      <c r="I302" s="187" t="s">
        <v>5394</v>
      </c>
      <c r="J302" s="186">
        <f t="shared" si="37"/>
        <v>-55865388</v>
      </c>
      <c r="K302" s="187" t="s">
        <v>5393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5398</v>
      </c>
      <c r="L304" s="82">
        <v>1773000000</v>
      </c>
      <c r="M304" s="82">
        <v>879000000</v>
      </c>
      <c r="N304" s="111">
        <f t="shared" si="38"/>
        <v>2652000000</v>
      </c>
      <c r="O304" s="111">
        <f t="shared" si="39"/>
        <v>217170</v>
      </c>
      <c r="P304" s="111">
        <f t="shared" si="40"/>
        <v>-212651</v>
      </c>
      <c r="Q304" s="225">
        <v>0</v>
      </c>
    </row>
    <row r="305" spans="9:17">
      <c r="I305" s="210" t="s">
        <v>5400</v>
      </c>
      <c r="J305" s="111">
        <f>L305-L304-400000</f>
        <v>-400000</v>
      </c>
      <c r="K305" s="210" t="s">
        <v>5399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5419</v>
      </c>
      <c r="L307" s="82">
        <v>1627606378</v>
      </c>
      <c r="M307" s="82">
        <v>802901457</v>
      </c>
      <c r="N307" s="111">
        <f t="shared" si="38"/>
        <v>2430507835</v>
      </c>
      <c r="O307" s="111">
        <f t="shared" si="39"/>
        <v>21798585</v>
      </c>
      <c r="P307" s="111">
        <f t="shared" si="40"/>
        <v>63329771</v>
      </c>
      <c r="Q307" s="225">
        <v>0</v>
      </c>
    </row>
    <row r="308" spans="9:17">
      <c r="I308" s="210" t="s">
        <v>5421</v>
      </c>
      <c r="J308" s="111">
        <f>L308-L307+968000</f>
        <v>30858637</v>
      </c>
      <c r="K308" s="210" t="s">
        <v>5420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5422</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5431</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5432</v>
      </c>
      <c r="L318" s="82">
        <v>2260584534</v>
      </c>
      <c r="M318" s="82">
        <v>1120314374</v>
      </c>
      <c r="N318" s="216">
        <f t="shared" si="41"/>
        <v>3380898908</v>
      </c>
      <c r="O318" s="111">
        <f t="shared" si="42"/>
        <v>67266920</v>
      </c>
      <c r="P318" s="111">
        <f t="shared" si="43"/>
        <v>208542979</v>
      </c>
      <c r="Q318" s="225">
        <v>0</v>
      </c>
    </row>
    <row r="319" spans="9:17">
      <c r="I319" s="210" t="s">
        <v>5434</v>
      </c>
      <c r="J319" s="111">
        <f>L319-L318-3006000</f>
        <v>32865631</v>
      </c>
      <c r="K319" s="210" t="s">
        <v>5433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5440</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5441</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5442</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5443</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5449</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5450</v>
      </c>
      <c r="L326" s="82">
        <v>2819979138</v>
      </c>
      <c r="M326" s="82">
        <v>1401539279</v>
      </c>
      <c r="N326" s="216">
        <f t="shared" si="41"/>
        <v>4221518417</v>
      </c>
      <c r="O326" s="111">
        <f t="shared" si="42"/>
        <v>13084171</v>
      </c>
      <c r="P326" s="111">
        <f t="shared" si="43"/>
        <v>39080100</v>
      </c>
      <c r="Q326" s="225">
        <v>0</v>
      </c>
    </row>
    <row r="327" spans="9:22">
      <c r="I327" s="210" t="s">
        <v>5453</v>
      </c>
      <c r="J327" s="111">
        <f>L327-L326+130382924</f>
        <v>36685298</v>
      </c>
      <c r="K327" s="210" t="s">
        <v>5452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5454</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5455</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5459</v>
      </c>
      <c r="J332" s="186">
        <f>L332-L331-125000000</f>
        <v>154015802</v>
      </c>
      <c r="K332" s="187" t="s">
        <v>5327</v>
      </c>
      <c r="L332" s="233">
        <v>3877711355</v>
      </c>
      <c r="M332" s="233">
        <v>1868422520</v>
      </c>
      <c r="N332" s="216">
        <f t="shared" si="44"/>
        <v>5746133875</v>
      </c>
      <c r="O332" s="186">
        <f t="shared" si="45"/>
        <v>77900986</v>
      </c>
      <c r="P332" s="186">
        <f>N332-N331-125000000</f>
        <v>231916788</v>
      </c>
      <c r="Q332" s="225">
        <v>125000000</v>
      </c>
    </row>
    <row r="333" spans="9:22">
      <c r="I333" s="187" t="s">
        <v>5460</v>
      </c>
      <c r="J333" s="186">
        <f>L333-L332-7200000</f>
        <v>-108573535</v>
      </c>
      <c r="K333" s="187" t="s">
        <v>5456</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5464</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5465</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5466</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5470</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5472</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5474</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5475</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5476</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5477</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5478</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5479</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5483</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5499</v>
      </c>
      <c r="L346" s="82">
        <v>3220000000</v>
      </c>
      <c r="M346" s="82">
        <v>1580000000</v>
      </c>
      <c r="N346" s="111">
        <f t="shared" si="44"/>
        <v>4800000000</v>
      </c>
      <c r="O346" s="111">
        <f t="shared" si="45"/>
        <v>16994429</v>
      </c>
      <c r="P346" s="111">
        <f t="shared" si="46"/>
        <v>32497144</v>
      </c>
      <c r="Q346" s="225">
        <v>0</v>
      </c>
    </row>
    <row r="347" spans="9:19">
      <c r="I347" s="187" t="s">
        <v>5514</v>
      </c>
      <c r="J347" s="186">
        <f>L347-L346-50000000</f>
        <v>30000000</v>
      </c>
      <c r="K347" s="187" t="s">
        <v>5500</v>
      </c>
      <c r="L347" s="233">
        <v>3300000000</v>
      </c>
      <c r="M347" s="233">
        <v>1600000000</v>
      </c>
      <c r="N347" s="186">
        <f t="shared" si="44"/>
        <v>4900000000</v>
      </c>
      <c r="O347" s="186">
        <f t="shared" si="45"/>
        <v>20000000</v>
      </c>
      <c r="P347" s="186">
        <f>N347-N346-50000000</f>
        <v>50000000</v>
      </c>
      <c r="Q347" s="225">
        <v>50000000</v>
      </c>
    </row>
    <row r="348" spans="9:19">
      <c r="I348" s="187" t="s">
        <v>5518</v>
      </c>
      <c r="J348" s="186">
        <f t="shared" si="37"/>
        <v>79324490</v>
      </c>
      <c r="K348" s="187" t="s">
        <v>5501</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5522</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5523</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5524</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5526</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5527</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5529</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5530</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5531</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5532</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5533</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5534</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5535</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5538</v>
      </c>
      <c r="L361" s="82">
        <v>4730000000</v>
      </c>
      <c r="M361" s="82">
        <v>2276000000</v>
      </c>
      <c r="N361" s="288">
        <f t="shared" si="44"/>
        <v>7006000000</v>
      </c>
      <c r="O361" s="111">
        <f t="shared" si="45"/>
        <v>9599335.7503376007</v>
      </c>
      <c r="P361" s="111">
        <f t="shared" si="46"/>
        <v>37003184.750337601</v>
      </c>
      <c r="Q361" s="225">
        <v>0</v>
      </c>
    </row>
    <row r="362" spans="9:21">
      <c r="I362" s="213" t="s">
        <v>5540</v>
      </c>
      <c r="J362" s="240">
        <f>L362-L361+58196600</f>
        <v>79816926</v>
      </c>
      <c r="K362" s="213" t="s">
        <v>5539</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5545</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5547</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5549</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5552</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5555</v>
      </c>
      <c r="L367" s="82">
        <v>5620000000</v>
      </c>
      <c r="M367" s="82">
        <v>2670000000</v>
      </c>
      <c r="N367" s="111">
        <f t="shared" si="44"/>
        <v>8290000000</v>
      </c>
      <c r="O367" s="111">
        <f t="shared" si="47"/>
        <v>-19938073</v>
      </c>
      <c r="P367" s="111">
        <f t="shared" si="48"/>
        <v>-63769642</v>
      </c>
      <c r="S367" t="s">
        <v>25</v>
      </c>
    </row>
    <row r="368" spans="9:21">
      <c r="I368" s="187" t="s">
        <v>5558</v>
      </c>
      <c r="J368" s="186">
        <f t="shared" si="37"/>
        <v>-39749235</v>
      </c>
      <c r="K368" s="187" t="s">
        <v>5557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5571</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5583</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5590</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5616</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5617</v>
      </c>
      <c r="L389" s="82">
        <v>6126666000</v>
      </c>
      <c r="M389" s="82">
        <v>3341157354</v>
      </c>
      <c r="N389" s="111">
        <f t="shared" si="44"/>
        <v>9467823354</v>
      </c>
      <c r="O389" s="111">
        <f t="shared" si="49"/>
        <v>26757796</v>
      </c>
      <c r="P389" s="111">
        <f t="shared" si="50"/>
        <v>-44095692</v>
      </c>
      <c r="Q389" s="225">
        <v>0</v>
      </c>
    </row>
    <row r="390" spans="9:21">
      <c r="I390" s="271" t="s">
        <v>5623</v>
      </c>
      <c r="J390" s="92">
        <f>L390-L389+98469400</f>
        <v>113425690</v>
      </c>
      <c r="K390" s="271" t="s">
        <v>5606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5662</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5663</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5675</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5676</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5677</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5694</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5698</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5702</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5704</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5709</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5713</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5715</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5719</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5721</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5723</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5724</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5726</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5727</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5729</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5731</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5733</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5735</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5737</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5747</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5749</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5750</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5767</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5766</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5765</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5753</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5759</v>
      </c>
      <c r="L453" s="82">
        <v>4500000000</v>
      </c>
      <c r="M453" s="82">
        <v>2500000000</v>
      </c>
      <c r="N453" s="111">
        <f t="shared" si="52"/>
        <v>7000000000</v>
      </c>
      <c r="O453" s="111">
        <f t="shared" si="55"/>
        <v>-100000000</v>
      </c>
      <c r="P453" s="111">
        <f t="shared" si="56"/>
        <v>-200000000</v>
      </c>
      <c r="Q453" s="225">
        <v>0</v>
      </c>
    </row>
    <row r="454" spans="9:21">
      <c r="I454" s="187" t="s">
        <v>5769</v>
      </c>
      <c r="J454" s="186">
        <f>L454-L453-260000000</f>
        <v>-241879353</v>
      </c>
      <c r="K454" s="187" t="s">
        <v>5764</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5768</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5770</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5771</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5773</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5774</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5777</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5778</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5779</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5780</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5781</v>
      </c>
      <c r="L464" s="82">
        <v>5684600946</v>
      </c>
      <c r="M464" s="82">
        <v>3223570500</v>
      </c>
      <c r="N464" s="111">
        <f t="shared" si="57"/>
        <v>8908171446</v>
      </c>
      <c r="O464" s="111">
        <f t="shared" si="58"/>
        <v>146480670</v>
      </c>
      <c r="P464" s="111">
        <f t="shared" si="59"/>
        <v>445129043</v>
      </c>
      <c r="Q464" s="225">
        <v>0</v>
      </c>
    </row>
    <row r="465" spans="9:19">
      <c r="I465" s="187" t="s">
        <v>5785</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5788</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5789</v>
      </c>
      <c r="L467" s="82">
        <v>6143888625</v>
      </c>
      <c r="M467" s="82">
        <v>3526728170</v>
      </c>
      <c r="N467" s="111">
        <f t="shared" si="57"/>
        <v>9670616795</v>
      </c>
      <c r="O467" s="111">
        <f t="shared" si="58"/>
        <v>62523077</v>
      </c>
      <c r="P467" s="111">
        <f t="shared" si="59"/>
        <v>145542848</v>
      </c>
      <c r="Q467" s="225">
        <v>0</v>
      </c>
    </row>
    <row r="468" spans="9:19">
      <c r="I468" s="210" t="s">
        <v>5792</v>
      </c>
      <c r="J468" s="111">
        <f>L468-L467-20000</f>
        <v>-31443260</v>
      </c>
      <c r="K468" s="210" t="s">
        <v>5791</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5795</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5796</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5798</v>
      </c>
      <c r="L471" s="82">
        <v>6013616539</v>
      </c>
      <c r="M471" s="82">
        <v>3413915060</v>
      </c>
      <c r="N471" s="111">
        <f t="shared" si="57"/>
        <v>9427531599</v>
      </c>
      <c r="O471" s="111">
        <f t="shared" si="58"/>
        <v>-132100286</v>
      </c>
      <c r="P471" s="111">
        <f t="shared" si="59"/>
        <v>-358771555</v>
      </c>
      <c r="Q471" s="225">
        <v>0</v>
      </c>
      <c r="R471" t="s">
        <v>25</v>
      </c>
    </row>
    <row r="472" spans="9:19">
      <c r="I472" s="210" t="s">
        <v>5802</v>
      </c>
      <c r="J472" s="111">
        <f>L472-L471-70000</f>
        <v>-63686539</v>
      </c>
      <c r="K472" s="210" t="s">
        <v>5800</v>
      </c>
      <c r="L472" s="82">
        <v>5950000000</v>
      </c>
      <c r="M472" s="82">
        <v>3380000000</v>
      </c>
      <c r="N472" s="111">
        <f t="shared" si="57"/>
        <v>9330000000</v>
      </c>
      <c r="O472" s="111">
        <f>M472-M471-70000</f>
        <v>-33985060</v>
      </c>
      <c r="P472" s="111">
        <f>N472-N471-140000</f>
        <v>-97671599</v>
      </c>
      <c r="Q472" s="225">
        <v>140000</v>
      </c>
    </row>
    <row r="473" spans="9:19">
      <c r="I473" s="210" t="s">
        <v>5812</v>
      </c>
      <c r="J473" s="111">
        <f>L473-L472-330000</f>
        <v>-62693116</v>
      </c>
      <c r="K473" s="210" t="s">
        <v>5808</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5815</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5826</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5336</v>
      </c>
      <c r="B1">
        <v>0.24</v>
      </c>
    </row>
    <row r="4" spans="1:21">
      <c r="A4" s="97" t="s">
        <v>3625</v>
      </c>
      <c r="B4" s="97" t="s">
        <v>180</v>
      </c>
      <c r="C4" s="97" t="s">
        <v>5340</v>
      </c>
      <c r="D4" s="97" t="s">
        <v>5341</v>
      </c>
      <c r="E4" s="97" t="s">
        <v>5348</v>
      </c>
      <c r="F4" s="97" t="s">
        <v>5342</v>
      </c>
      <c r="G4" s="97" t="s">
        <v>5343</v>
      </c>
      <c r="H4" s="97" t="s">
        <v>5344</v>
      </c>
      <c r="I4" s="97" t="s">
        <v>5345</v>
      </c>
      <c r="J4" s="97" t="s">
        <v>5346</v>
      </c>
      <c r="K4" s="97" t="s">
        <v>5347</v>
      </c>
      <c r="L4" s="97" t="s">
        <v>5335</v>
      </c>
      <c r="M4" s="97" t="s">
        <v>5337</v>
      </c>
      <c r="N4" s="97" t="s">
        <v>5338</v>
      </c>
      <c r="O4" s="97"/>
    </row>
    <row r="5" spans="1:21">
      <c r="A5" s="97">
        <v>0</v>
      </c>
      <c r="B5" s="97" t="s">
        <v>5334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5349</v>
      </c>
      <c r="C52" s="279" t="s">
        <v>5350</v>
      </c>
      <c r="D52" s="279" t="s">
        <v>5351</v>
      </c>
      <c r="E52" s="279" t="s">
        <v>4249</v>
      </c>
      <c r="F52" s="279" t="s">
        <v>5352</v>
      </c>
      <c r="G52" s="279" t="s">
        <v>5353</v>
      </c>
      <c r="H52" s="279" t="s">
        <v>5354</v>
      </c>
      <c r="I52" s="279" t="s">
        <v>5355</v>
      </c>
      <c r="J52" s="279" t="s">
        <v>5356</v>
      </c>
      <c r="K52" s="279" t="s">
        <v>5357</v>
      </c>
      <c r="L52" s="279" t="s">
        <v>5358</v>
      </c>
      <c r="M52" s="279" t="s">
        <v>5359</v>
      </c>
      <c r="N52" s="279" t="s">
        <v>5360</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5321</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5331</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5349</v>
      </c>
      <c r="C64" s="279" t="s">
        <v>5350</v>
      </c>
      <c r="D64" s="279" t="s">
        <v>5351</v>
      </c>
      <c r="E64" s="279" t="s">
        <v>4249</v>
      </c>
      <c r="F64" s="279" t="s">
        <v>5352</v>
      </c>
      <c r="G64" s="279" t="s">
        <v>5353</v>
      </c>
      <c r="H64" s="279" t="s">
        <v>5354</v>
      </c>
      <c r="I64" s="279" t="s">
        <v>5355</v>
      </c>
      <c r="J64" s="279" t="s">
        <v>5356</v>
      </c>
      <c r="K64" s="279" t="s">
        <v>5357</v>
      </c>
      <c r="L64" s="279" t="s">
        <v>5358</v>
      </c>
      <c r="M64" s="279" t="s">
        <v>5359</v>
      </c>
      <c r="N64" s="279" t="s">
        <v>5360</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5321</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5331</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5596</v>
      </c>
    </row>
    <row r="29" spans="2:21">
      <c r="G29" s="11">
        <f t="shared" ref="G29:G41" si="5">$I$48-I29</f>
        <v>2500</v>
      </c>
      <c r="H29" s="11" t="s">
        <v>5328</v>
      </c>
      <c r="I29" s="11">
        <v>270000</v>
      </c>
      <c r="J29" s="11" t="s">
        <v>561</v>
      </c>
    </row>
    <row r="30" spans="2:21">
      <c r="G30" s="11">
        <f t="shared" si="5"/>
        <v>2500</v>
      </c>
      <c r="H30" s="11" t="s">
        <v>5328</v>
      </c>
      <c r="I30" s="11">
        <v>270000</v>
      </c>
      <c r="J30" s="11" t="s">
        <v>562</v>
      </c>
    </row>
    <row r="31" spans="2:21">
      <c r="G31" s="11">
        <f t="shared" si="5"/>
        <v>5500</v>
      </c>
      <c r="H31" s="11" t="s">
        <v>5501</v>
      </c>
      <c r="I31" s="11">
        <v>267000</v>
      </c>
      <c r="J31" s="11" t="s">
        <v>476</v>
      </c>
    </row>
    <row r="32" spans="2:21">
      <c r="G32" s="11">
        <f>$I$48-I32</f>
        <v>87500</v>
      </c>
      <c r="H32" s="57" t="s">
        <v>780</v>
      </c>
      <c r="I32" s="11">
        <v>185000</v>
      </c>
      <c r="J32" s="11" t="s">
        <v>556</v>
      </c>
    </row>
    <row r="33" spans="6:23">
      <c r="G33" s="11">
        <f t="shared" si="5"/>
        <v>5500</v>
      </c>
      <c r="H33" s="11" t="s">
        <v>5501</v>
      </c>
      <c r="I33" s="11">
        <v>267000</v>
      </c>
      <c r="J33" s="11" t="s">
        <v>563</v>
      </c>
    </row>
    <row r="34" spans="6:23">
      <c r="G34" s="11">
        <f t="shared" si="5"/>
        <v>5500</v>
      </c>
      <c r="H34" s="11" t="s">
        <v>5501</v>
      </c>
      <c r="I34" s="11">
        <v>267000</v>
      </c>
      <c r="J34" s="11" t="s">
        <v>564</v>
      </c>
    </row>
    <row r="35" spans="6:23">
      <c r="G35" s="11">
        <f t="shared" si="5"/>
        <v>5500</v>
      </c>
      <c r="H35" s="11" t="s">
        <v>5501</v>
      </c>
      <c r="I35" s="11">
        <v>267000</v>
      </c>
      <c r="J35" s="11" t="s">
        <v>565</v>
      </c>
    </row>
    <row r="36" spans="6:23">
      <c r="F36" t="s">
        <v>25</v>
      </c>
      <c r="G36" s="11">
        <f t="shared" si="5"/>
        <v>8500</v>
      </c>
      <c r="H36" s="11" t="s">
        <v>5374</v>
      </c>
      <c r="I36" s="11">
        <v>264000</v>
      </c>
      <c r="J36" s="11" t="s">
        <v>636</v>
      </c>
      <c r="O36" s="22"/>
    </row>
    <row r="37" spans="6:23">
      <c r="G37" s="11">
        <f t="shared" si="5"/>
        <v>14500</v>
      </c>
      <c r="H37" s="11" t="s">
        <v>5181</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4734</v>
      </c>
      <c r="I46" s="11">
        <v>248200</v>
      </c>
      <c r="J46" s="11" t="s">
        <v>4743</v>
      </c>
      <c r="M46" s="25"/>
      <c r="N46" s="25"/>
      <c r="O46" s="25"/>
      <c r="P46" s="25"/>
      <c r="Q46" s="25"/>
      <c r="R46" s="25"/>
      <c r="S46" s="25"/>
      <c r="T46" s="25"/>
      <c r="U46" s="25"/>
      <c r="V46" s="25"/>
      <c r="W46" s="25"/>
    </row>
    <row r="47" spans="6:23">
      <c r="G47" s="97">
        <f t="shared" si="6"/>
        <v>15500</v>
      </c>
      <c r="H47" s="97" t="s">
        <v>5139</v>
      </c>
      <c r="I47" s="97">
        <v>257000</v>
      </c>
      <c r="J47" s="97" t="s">
        <v>5171</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5597</v>
      </c>
      <c r="M52" s="25"/>
      <c r="N52" s="25"/>
      <c r="O52" s="68"/>
      <c r="P52" s="25"/>
      <c r="Q52" s="69"/>
      <c r="R52" s="25"/>
      <c r="S52" s="69"/>
      <c r="T52" s="25"/>
      <c r="U52" s="28"/>
      <c r="V52" s="25"/>
      <c r="W52" s="25"/>
    </row>
    <row r="53" spans="7:23">
      <c r="G53" s="97">
        <f>$I$72-I53</f>
        <v>1500</v>
      </c>
      <c r="H53" s="97" t="s">
        <v>5328</v>
      </c>
      <c r="I53" s="97">
        <v>38000</v>
      </c>
      <c r="J53" s="97" t="s">
        <v>561</v>
      </c>
      <c r="M53" s="25"/>
      <c r="N53" s="25"/>
      <c r="O53" s="68"/>
      <c r="P53" s="25"/>
      <c r="Q53" s="69"/>
      <c r="R53" s="25"/>
      <c r="S53" s="69"/>
      <c r="T53" s="25"/>
      <c r="U53" s="25"/>
      <c r="V53" s="25"/>
      <c r="W53" s="25"/>
    </row>
    <row r="54" spans="7:23">
      <c r="G54" s="97">
        <f t="shared" ref="G54:G71" si="7">$I$72-I54</f>
        <v>1500</v>
      </c>
      <c r="H54" s="97" t="s">
        <v>5328</v>
      </c>
      <c r="I54" s="97">
        <v>38000</v>
      </c>
      <c r="J54" s="97" t="s">
        <v>562</v>
      </c>
      <c r="M54" s="25"/>
      <c r="N54" s="25"/>
      <c r="O54" s="25"/>
      <c r="P54" s="25"/>
      <c r="Q54" s="69"/>
      <c r="R54" s="25"/>
      <c r="S54" s="69"/>
      <c r="T54" s="25"/>
      <c r="U54" s="25"/>
      <c r="V54" s="25"/>
      <c r="W54" s="25"/>
    </row>
    <row r="55" spans="7:23">
      <c r="G55" s="97">
        <f t="shared" si="7"/>
        <v>1500</v>
      </c>
      <c r="H55" s="97" t="s">
        <v>5501</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5501</v>
      </c>
      <c r="I57" s="97">
        <v>38000</v>
      </c>
      <c r="J57" s="97" t="s">
        <v>563</v>
      </c>
      <c r="M57" s="25"/>
      <c r="N57" s="25"/>
      <c r="O57" s="25"/>
      <c r="P57" s="25"/>
      <c r="Q57" s="69"/>
      <c r="R57" s="25"/>
      <c r="S57" s="69"/>
      <c r="T57" s="25"/>
      <c r="U57" s="25"/>
      <c r="V57" s="25"/>
      <c r="W57" s="25"/>
    </row>
    <row r="58" spans="7:23">
      <c r="G58" s="97">
        <f t="shared" si="7"/>
        <v>1500</v>
      </c>
      <c r="H58" s="97" t="s">
        <v>5501</v>
      </c>
      <c r="I58" s="97">
        <v>38000</v>
      </c>
      <c r="J58" s="97" t="s">
        <v>564</v>
      </c>
      <c r="M58" s="25"/>
      <c r="N58" s="25"/>
      <c r="O58" s="25"/>
      <c r="P58" s="25"/>
      <c r="Q58" s="69"/>
      <c r="R58" s="25"/>
      <c r="S58" s="69"/>
      <c r="T58" s="25"/>
      <c r="U58" s="25"/>
      <c r="V58" s="25"/>
      <c r="W58" s="25"/>
    </row>
    <row r="59" spans="7:23">
      <c r="G59" s="97">
        <f t="shared" si="7"/>
        <v>1500</v>
      </c>
      <c r="H59" s="97" t="s">
        <v>5501</v>
      </c>
      <c r="I59" s="97">
        <v>38000</v>
      </c>
      <c r="J59" s="97" t="s">
        <v>565</v>
      </c>
      <c r="M59" s="25"/>
      <c r="N59" s="25"/>
      <c r="O59" s="25"/>
      <c r="P59" s="25"/>
      <c r="Q59" s="69"/>
      <c r="R59" s="25"/>
      <c r="S59" s="69"/>
      <c r="T59" s="25"/>
      <c r="U59" s="25"/>
      <c r="V59" s="25"/>
      <c r="W59" s="25"/>
    </row>
    <row r="60" spans="7:23">
      <c r="G60" s="97">
        <f t="shared" si="7"/>
        <v>39500</v>
      </c>
      <c r="H60" s="97" t="s">
        <v>5374</v>
      </c>
      <c r="I60" s="97">
        <v>0</v>
      </c>
      <c r="J60" s="97" t="s">
        <v>636</v>
      </c>
      <c r="M60" s="25"/>
      <c r="N60" s="25"/>
      <c r="O60" s="25"/>
      <c r="P60" s="25"/>
      <c r="Q60" s="69"/>
      <c r="R60" s="25"/>
      <c r="S60" s="69"/>
      <c r="T60" s="25"/>
      <c r="U60" s="25"/>
      <c r="V60" s="25"/>
      <c r="W60" s="25"/>
    </row>
    <row r="61" spans="7:23">
      <c r="G61" s="97">
        <f t="shared" si="7"/>
        <v>39500</v>
      </c>
      <c r="H61" s="97" t="s">
        <v>5181</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4734</v>
      </c>
      <c r="I70" s="97">
        <v>0</v>
      </c>
      <c r="J70" s="97" t="s">
        <v>4743</v>
      </c>
    </row>
    <row r="71" spans="7:17">
      <c r="G71" s="97">
        <f t="shared" si="7"/>
        <v>39500</v>
      </c>
      <c r="H71" s="97" t="s">
        <v>5139</v>
      </c>
      <c r="I71" s="97">
        <v>0</v>
      </c>
      <c r="J71" s="97" t="s">
        <v>5171</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8"/>
  <sheetViews>
    <sheetView topLeftCell="I85" zoomScaleNormal="100" workbookViewId="0">
      <selection activeCell="Q104" sqref="Q104"/>
    </sheetView>
  </sheetViews>
  <sheetFormatPr defaultRowHeight="15"/>
  <cols>
    <col min="1" max="1" width="15.42578125" bestFit="1" customWidth="1"/>
    <col min="2" max="2" width="11" bestFit="1" customWidth="1"/>
    <col min="3" max="3" width="19.5703125" style="94" hidden="1" customWidth="1"/>
    <col min="4" max="4" width="17.28515625" style="94" hidden="1" customWidth="1"/>
    <col min="5" max="5" width="14.28515625" hidden="1" customWidth="1"/>
    <col min="6" max="6" width="19.28515625" hidden="1" customWidth="1"/>
    <col min="7" max="7" width="9.85546875" hidden="1" customWidth="1"/>
    <col min="8" max="8" width="13.85546875" hidden="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4847</v>
      </c>
      <c r="B1" s="210" t="s">
        <v>4848</v>
      </c>
      <c r="C1" s="187" t="s">
        <v>5047</v>
      </c>
      <c r="D1" s="187" t="s">
        <v>5019</v>
      </c>
      <c r="E1" s="210" t="s">
        <v>5584</v>
      </c>
      <c r="F1" s="210" t="s">
        <v>5585</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13200</v>
      </c>
      <c r="J2" s="195">
        <f>B2*I2/$M$2</f>
        <v>204.2963274</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4400</v>
      </c>
      <c r="J3" s="189">
        <f>B3*I3/$M$2</f>
        <v>325.11111111111109</v>
      </c>
      <c r="N3">
        <f>N2/O2</f>
        <v>0.67428291627160497</v>
      </c>
    </row>
    <row r="4" spans="1:20">
      <c r="A4" s="189" t="s">
        <v>4852</v>
      </c>
      <c r="B4" s="189">
        <v>346000000</v>
      </c>
      <c r="C4" s="187">
        <v>75</v>
      </c>
      <c r="D4" s="187">
        <f>B4*C4/$M$2</f>
        <v>0.36041666666666666</v>
      </c>
      <c r="E4" s="189">
        <v>100</v>
      </c>
      <c r="F4" s="189">
        <f>B4*E4/$M$2</f>
        <v>0.48055555555555557</v>
      </c>
      <c r="G4" s="189"/>
      <c r="H4" s="189"/>
      <c r="I4" s="189">
        <v>600</v>
      </c>
      <c r="J4" s="189">
        <f>B4*I4/$M$2</f>
        <v>2.8833333333333333</v>
      </c>
    </row>
    <row r="5" spans="1:20">
      <c r="A5" s="189" t="s">
        <v>4853</v>
      </c>
      <c r="B5" s="189">
        <v>8000000</v>
      </c>
      <c r="C5" s="187">
        <v>42</v>
      </c>
      <c r="D5" s="187">
        <f>B5*C5/$M$2</f>
        <v>4.6666666666666671E-3</v>
      </c>
      <c r="E5" s="189">
        <v>250</v>
      </c>
      <c r="F5" s="189">
        <f>B5*E5/$M$2</f>
        <v>2.7777777777777776E-2</v>
      </c>
      <c r="G5" s="189"/>
      <c r="H5" s="189"/>
      <c r="I5" s="189">
        <v>2315</v>
      </c>
      <c r="J5" s="189">
        <f>B5*I5/$M$2</f>
        <v>0.25722222222222224</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13200</v>
      </c>
      <c r="J7" s="195">
        <f>B7*I7*$N$3/$M$2</f>
        <v>138.96312064767898</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9670</v>
      </c>
      <c r="J8" s="189">
        <f t="shared" ref="J8:J15" si="3">B8*I8*$N$3/$M$2</f>
        <v>50.341157144532445</v>
      </c>
    </row>
    <row r="9" spans="1:20">
      <c r="A9" s="189" t="s">
        <v>4853</v>
      </c>
      <c r="B9" s="189">
        <v>4374853691</v>
      </c>
      <c r="C9" s="187">
        <f>C5</f>
        <v>42</v>
      </c>
      <c r="D9" s="187">
        <f>B9*C9*$N$3/$M$2</f>
        <v>1.7207686446002937</v>
      </c>
      <c r="E9" s="189">
        <f>E5</f>
        <v>250</v>
      </c>
      <c r="F9" s="189">
        <f t="shared" si="0"/>
        <v>10.242670503573178</v>
      </c>
      <c r="G9" s="189"/>
      <c r="H9" s="189">
        <f t="shared" si="1"/>
        <v>0</v>
      </c>
      <c r="I9" s="189">
        <f>I5</f>
        <v>2315</v>
      </c>
      <c r="J9" s="189">
        <f t="shared" si="3"/>
        <v>94.847128863087619</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9143</v>
      </c>
      <c r="J10" s="210">
        <f t="shared" si="3"/>
        <v>353.35260154991238</v>
      </c>
    </row>
    <row r="11" spans="1:20">
      <c r="A11" s="196" t="s">
        <v>4860</v>
      </c>
      <c r="B11" s="196">
        <v>2693179034</v>
      </c>
      <c r="C11" s="187">
        <v>20</v>
      </c>
      <c r="D11" s="187">
        <f t="shared" si="2"/>
        <v>0.50443461474640661</v>
      </c>
      <c r="E11" s="196">
        <v>400</v>
      </c>
      <c r="F11" s="196">
        <f t="shared" si="0"/>
        <v>10.088692294928133</v>
      </c>
      <c r="G11" s="196"/>
      <c r="H11" s="196">
        <f t="shared" si="1"/>
        <v>0</v>
      </c>
      <c r="I11" s="196">
        <v>5560</v>
      </c>
      <c r="J11" s="196">
        <f t="shared" si="3"/>
        <v>140.23282289950106</v>
      </c>
    </row>
    <row r="12" spans="1:20">
      <c r="A12" s="189" t="s">
        <v>4861</v>
      </c>
      <c r="B12" s="189">
        <v>4939911138</v>
      </c>
      <c r="C12" s="187">
        <v>70</v>
      </c>
      <c r="D12" s="187">
        <f t="shared" si="2"/>
        <v>3.2383727524684107</v>
      </c>
      <c r="E12" s="189">
        <v>250</v>
      </c>
      <c r="F12" s="189">
        <f t="shared" si="0"/>
        <v>11.565616973101468</v>
      </c>
      <c r="G12" s="189"/>
      <c r="H12" s="189">
        <f t="shared" si="1"/>
        <v>0</v>
      </c>
      <c r="I12" s="189">
        <v>2715</v>
      </c>
      <c r="J12" s="189">
        <f t="shared" si="3"/>
        <v>125.60260032788194</v>
      </c>
      <c r="O12" t="s">
        <v>4929</v>
      </c>
    </row>
    <row r="13" spans="1:20">
      <c r="A13" s="189" t="s">
        <v>5554</v>
      </c>
      <c r="B13" s="189">
        <v>1630533748</v>
      </c>
      <c r="C13" s="187">
        <v>60</v>
      </c>
      <c r="D13" s="187">
        <f t="shared" si="2"/>
        <v>0.91620087556725849</v>
      </c>
      <c r="E13" s="189">
        <v>300</v>
      </c>
      <c r="F13" s="189">
        <f t="shared" si="0"/>
        <v>4.581004377836293</v>
      </c>
      <c r="G13" s="189"/>
      <c r="H13" s="189">
        <f t="shared" si="1"/>
        <v>0</v>
      </c>
      <c r="I13" s="189">
        <v>3500</v>
      </c>
      <c r="J13" s="189">
        <f t="shared" si="3"/>
        <v>53.445051074756748</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18600</v>
      </c>
      <c r="J14" s="189">
        <f>B14*I14*$N$3/$M$2</f>
        <v>141.70923177428145</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6200</v>
      </c>
      <c r="J15" s="189">
        <f t="shared" si="3"/>
        <v>13.758553311277101</v>
      </c>
      <c r="O15" s="97" t="s">
        <v>4926</v>
      </c>
      <c r="P15" s="18">
        <v>-500000</v>
      </c>
      <c r="Q15" s="97">
        <v>7</v>
      </c>
      <c r="R15" s="97"/>
      <c r="S15" s="94"/>
      <c r="T15" s="94"/>
    </row>
    <row r="16" spans="1:20">
      <c r="A16" s="210"/>
      <c r="B16" s="210"/>
      <c r="C16" s="210"/>
      <c r="D16" s="210"/>
      <c r="E16" s="210"/>
      <c r="F16" s="210">
        <f t="shared" si="0"/>
        <v>0</v>
      </c>
      <c r="G16" s="210"/>
      <c r="H16" s="210">
        <f t="shared" si="1"/>
        <v>0</v>
      </c>
      <c r="I16" s="97" t="s">
        <v>5447</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5668</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5448</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2524.8002616595768</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1100</v>
      </c>
      <c r="J24" s="210">
        <f>I24/J21</f>
        <v>0.43567802835894781</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5114</v>
      </c>
      <c r="D28" s="94" t="s">
        <v>5120</v>
      </c>
      <c r="E28" t="s">
        <v>5121</v>
      </c>
      <c r="F28" t="s">
        <v>5123</v>
      </c>
      <c r="G28" t="s">
        <v>5124</v>
      </c>
      <c r="O28" s="97" t="s">
        <v>5011</v>
      </c>
      <c r="P28" s="18">
        <v>100000</v>
      </c>
      <c r="Q28" s="97">
        <v>1</v>
      </c>
      <c r="R28" s="97"/>
      <c r="S28" s="94"/>
      <c r="T28" s="94"/>
    </row>
    <row r="29" spans="1:22">
      <c r="C29" s="94" t="s">
        <v>5119</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5125</v>
      </c>
      <c r="D30" s="94">
        <v>10</v>
      </c>
      <c r="E30" s="94">
        <v>0.5</v>
      </c>
      <c r="F30" s="94">
        <f t="shared" ref="F30:F35" si="4">D30*E30*$D$40</f>
        <v>5000000</v>
      </c>
      <c r="G30" s="94">
        <f t="shared" ref="G30:G35" si="5">F30*11400/1000000000</f>
        <v>57</v>
      </c>
      <c r="O30" s="97" t="s">
        <v>5015</v>
      </c>
      <c r="P30" s="18">
        <v>-4592486</v>
      </c>
      <c r="Q30" s="97">
        <v>0</v>
      </c>
      <c r="R30" s="97"/>
      <c r="S30" s="94"/>
      <c r="T30" s="94"/>
      <c r="V30" t="s">
        <v>25</v>
      </c>
    </row>
    <row r="31" spans="1:22">
      <c r="B31" s="94"/>
      <c r="C31" s="94" t="s">
        <v>5126</v>
      </c>
      <c r="D31" s="94">
        <v>492</v>
      </c>
      <c r="E31" s="94">
        <v>0.65</v>
      </c>
      <c r="F31" s="94">
        <f t="shared" si="4"/>
        <v>319800000</v>
      </c>
      <c r="G31" s="94">
        <f t="shared" si="5"/>
        <v>3645.72</v>
      </c>
      <c r="J31" t="s">
        <v>25</v>
      </c>
      <c r="O31" s="97" t="s">
        <v>5015</v>
      </c>
      <c r="P31" s="18">
        <v>4346112</v>
      </c>
      <c r="Q31" s="97">
        <v>11</v>
      </c>
      <c r="R31" s="97"/>
      <c r="S31" s="94"/>
      <c r="T31" s="94"/>
    </row>
    <row r="32" spans="1:22">
      <c r="B32" s="94"/>
      <c r="C32" s="94" t="s">
        <v>5127</v>
      </c>
      <c r="D32" s="94">
        <v>235</v>
      </c>
      <c r="E32" s="94">
        <v>1</v>
      </c>
      <c r="F32" s="94">
        <f t="shared" si="4"/>
        <v>235000000</v>
      </c>
      <c r="G32" s="94">
        <f t="shared" si="5"/>
        <v>2679</v>
      </c>
      <c r="O32" s="97" t="s">
        <v>5029</v>
      </c>
      <c r="P32" s="18">
        <v>1500000</v>
      </c>
      <c r="Q32" s="97">
        <v>16</v>
      </c>
      <c r="R32" s="97"/>
      <c r="S32" s="94"/>
      <c r="T32" s="94"/>
    </row>
    <row r="33" spans="1:22">
      <c r="A33" s="94"/>
      <c r="B33" s="94"/>
      <c r="C33" s="94" t="s">
        <v>5128</v>
      </c>
      <c r="D33" s="94">
        <v>500</v>
      </c>
      <c r="E33" s="94">
        <v>0.6</v>
      </c>
      <c r="F33" s="94">
        <f t="shared" si="4"/>
        <v>300000000</v>
      </c>
      <c r="G33" s="94">
        <f t="shared" si="5"/>
        <v>3420</v>
      </c>
      <c r="O33" s="97" t="s">
        <v>5018</v>
      </c>
      <c r="P33" s="18">
        <v>6000000</v>
      </c>
      <c r="Q33" s="97">
        <v>8</v>
      </c>
      <c r="R33" s="97"/>
      <c r="S33" s="94"/>
      <c r="T33" s="94"/>
    </row>
    <row r="34" spans="1:22">
      <c r="A34" s="94"/>
      <c r="B34" s="94"/>
      <c r="C34" s="94" t="s">
        <v>5129</v>
      </c>
      <c r="D34" s="94">
        <v>903</v>
      </c>
      <c r="E34" s="94">
        <v>1</v>
      </c>
      <c r="F34" s="94">
        <f t="shared" si="4"/>
        <v>903000000</v>
      </c>
      <c r="G34" s="94">
        <f>F34*11400/1000000000</f>
        <v>10294.200000000001</v>
      </c>
      <c r="H34">
        <v>1</v>
      </c>
      <c r="O34" s="97" t="s">
        <v>5070</v>
      </c>
      <c r="P34" s="18">
        <v>-50000</v>
      </c>
      <c r="Q34" s="97">
        <v>3</v>
      </c>
      <c r="R34" s="97"/>
      <c r="S34" s="94"/>
      <c r="T34" s="94"/>
    </row>
    <row r="35" spans="1:22">
      <c r="A35" s="94"/>
      <c r="B35" s="94"/>
      <c r="E35" s="94"/>
      <c r="F35" s="94">
        <f t="shared" si="4"/>
        <v>0</v>
      </c>
      <c r="G35" s="94">
        <f t="shared" si="5"/>
        <v>0</v>
      </c>
      <c r="O35" s="97" t="s">
        <v>5073</v>
      </c>
      <c r="P35" s="18">
        <v>-20000</v>
      </c>
      <c r="Q35" s="97">
        <v>7</v>
      </c>
      <c r="R35" s="97"/>
      <c r="S35" s="94"/>
      <c r="T35" s="94"/>
    </row>
    <row r="36" spans="1:22">
      <c r="A36" s="94"/>
      <c r="B36" s="94"/>
      <c r="E36" s="94"/>
      <c r="F36" s="94"/>
      <c r="G36" s="94"/>
      <c r="N36" t="s">
        <v>25</v>
      </c>
      <c r="O36" s="97" t="s">
        <v>5031</v>
      </c>
      <c r="P36" s="18">
        <v>6000000</v>
      </c>
      <c r="Q36" s="97">
        <v>1</v>
      </c>
      <c r="R36" s="97"/>
      <c r="S36" s="94"/>
      <c r="T36" s="94"/>
      <c r="V36" t="s">
        <v>25</v>
      </c>
    </row>
    <row r="37" spans="1:22">
      <c r="A37" s="94"/>
      <c r="B37" s="94"/>
      <c r="E37" s="94"/>
      <c r="F37" s="94"/>
      <c r="G37" s="94"/>
      <c r="O37" s="97" t="s">
        <v>5091</v>
      </c>
      <c r="P37" s="18">
        <v>-2302282</v>
      </c>
      <c r="Q37" s="97">
        <v>6</v>
      </c>
      <c r="R37" s="97"/>
      <c r="S37" s="94"/>
      <c r="T37" s="94"/>
    </row>
    <row r="38" spans="1:22">
      <c r="A38" s="94"/>
      <c r="B38" s="94"/>
      <c r="E38" s="94"/>
      <c r="F38" s="94"/>
      <c r="O38" s="97" t="s">
        <v>5096</v>
      </c>
      <c r="P38" s="18">
        <v>100000</v>
      </c>
      <c r="Q38" s="97">
        <v>1</v>
      </c>
      <c r="R38" s="97"/>
      <c r="S38" s="94"/>
      <c r="T38" s="94"/>
    </row>
    <row r="39" spans="1:22">
      <c r="A39" s="94"/>
      <c r="B39" s="94"/>
      <c r="C39" s="94" t="s">
        <v>5115</v>
      </c>
      <c r="D39" s="94" t="s">
        <v>5116</v>
      </c>
      <c r="E39" s="94"/>
      <c r="F39" s="94"/>
      <c r="O39" s="97" t="s">
        <v>5099</v>
      </c>
      <c r="P39" s="18">
        <v>-1727718</v>
      </c>
      <c r="Q39" s="97">
        <v>2</v>
      </c>
      <c r="R39" s="97"/>
      <c r="S39" s="94"/>
      <c r="T39" s="94"/>
      <c r="V39" t="s">
        <v>25</v>
      </c>
    </row>
    <row r="40" spans="1:22">
      <c r="A40" s="94"/>
      <c r="B40" s="94"/>
      <c r="C40" s="94" t="s">
        <v>5122</v>
      </c>
      <c r="D40" s="94">
        <v>1000000</v>
      </c>
      <c r="E40" s="94"/>
      <c r="F40" s="94"/>
      <c r="O40" s="97" t="s">
        <v>5103</v>
      </c>
      <c r="P40" s="18">
        <v>-1000000</v>
      </c>
      <c r="Q40" s="97">
        <v>0</v>
      </c>
      <c r="R40" s="97"/>
      <c r="S40" s="94"/>
      <c r="T40" s="94"/>
    </row>
    <row r="41" spans="1:22">
      <c r="A41" s="94"/>
      <c r="B41" s="94"/>
      <c r="C41" s="94" t="s">
        <v>5117</v>
      </c>
      <c r="D41" s="94" t="s">
        <v>5118</v>
      </c>
      <c r="E41" s="94"/>
      <c r="F41" s="94"/>
      <c r="O41" s="97" t="s">
        <v>5103</v>
      </c>
      <c r="P41" s="18">
        <v>-439200</v>
      </c>
      <c r="Q41" s="97">
        <v>1</v>
      </c>
      <c r="R41" s="97"/>
      <c r="S41" s="94"/>
      <c r="T41" s="94"/>
    </row>
    <row r="42" spans="1:22">
      <c r="A42" s="94"/>
      <c r="B42" s="94"/>
      <c r="E42" s="94"/>
      <c r="F42" s="94"/>
      <c r="O42" s="97" t="s">
        <v>5108</v>
      </c>
      <c r="P42" s="18">
        <v>-3631879</v>
      </c>
      <c r="Q42" s="97">
        <v>3</v>
      </c>
      <c r="R42" s="97"/>
      <c r="S42" s="94"/>
      <c r="T42" s="94"/>
    </row>
    <row r="43" spans="1:22">
      <c r="A43" s="94"/>
      <c r="B43" s="94"/>
      <c r="E43" s="94"/>
      <c r="F43" s="94"/>
      <c r="O43" s="97" t="s">
        <v>5133</v>
      </c>
      <c r="P43" s="18">
        <v>-2428921</v>
      </c>
      <c r="Q43" s="97">
        <v>9</v>
      </c>
      <c r="R43" s="97"/>
      <c r="S43" s="94"/>
      <c r="T43" s="94"/>
    </row>
    <row r="44" spans="1:22">
      <c r="A44" s="94"/>
      <c r="B44" s="94"/>
      <c r="E44" s="94"/>
      <c r="F44" s="94"/>
      <c r="O44" s="97" t="s">
        <v>5154</v>
      </c>
      <c r="P44" s="18">
        <v>-500000</v>
      </c>
      <c r="Q44" s="97">
        <v>1</v>
      </c>
      <c r="R44" s="97"/>
      <c r="S44" s="94"/>
      <c r="T44" s="94"/>
    </row>
    <row r="45" spans="1:22">
      <c r="A45" s="94"/>
      <c r="B45" s="94"/>
      <c r="E45" s="94"/>
      <c r="F45" s="94"/>
      <c r="O45" s="97" t="s">
        <v>5155</v>
      </c>
      <c r="P45" s="18">
        <v>-2603</v>
      </c>
      <c r="Q45" s="97">
        <v>0</v>
      </c>
      <c r="R45" s="97" t="s">
        <v>5156</v>
      </c>
      <c r="S45" s="94"/>
      <c r="T45" s="94"/>
    </row>
    <row r="46" spans="1:22">
      <c r="A46" s="94"/>
      <c r="B46" s="94" t="s">
        <v>4848</v>
      </c>
      <c r="C46" s="94" t="s">
        <v>4249</v>
      </c>
      <c r="D46" s="94" t="s">
        <v>4423</v>
      </c>
      <c r="E46" s="94" t="s">
        <v>5120</v>
      </c>
      <c r="F46" s="94" t="s">
        <v>5437</v>
      </c>
      <c r="O46" s="97" t="s">
        <v>5155</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5170</v>
      </c>
      <c r="P48" s="18">
        <v>300000</v>
      </c>
      <c r="Q48" s="97">
        <v>3</v>
      </c>
      <c r="R48" s="97"/>
      <c r="S48" s="94"/>
      <c r="T48" s="94"/>
    </row>
    <row r="49" spans="1:21">
      <c r="A49" s="94"/>
      <c r="B49" s="94"/>
      <c r="E49" s="94"/>
      <c r="F49" s="94"/>
      <c r="O49" s="97" t="s">
        <v>5176</v>
      </c>
      <c r="P49" s="18">
        <v>-50000</v>
      </c>
      <c r="Q49" s="97">
        <v>3</v>
      </c>
      <c r="R49" s="97"/>
      <c r="S49" s="94"/>
      <c r="T49" s="94"/>
    </row>
    <row r="50" spans="1:21">
      <c r="A50" s="94"/>
      <c r="B50" s="94"/>
      <c r="E50" s="94"/>
      <c r="F50" s="94"/>
      <c r="O50" s="97" t="s">
        <v>5181</v>
      </c>
      <c r="P50" s="18">
        <v>-1683146</v>
      </c>
      <c r="Q50" s="97">
        <v>10</v>
      </c>
      <c r="R50" s="97"/>
      <c r="S50" s="94"/>
      <c r="T50" s="94"/>
    </row>
    <row r="51" spans="1:21">
      <c r="A51" s="94"/>
      <c r="B51" s="94"/>
      <c r="E51" s="94"/>
      <c r="F51" s="94"/>
      <c r="O51" s="97" t="s">
        <v>5193</v>
      </c>
      <c r="P51" s="18">
        <v>700000</v>
      </c>
      <c r="Q51" s="97">
        <v>18</v>
      </c>
      <c r="R51" s="97"/>
      <c r="S51" s="94"/>
      <c r="T51" s="94"/>
    </row>
    <row r="52" spans="1:21">
      <c r="A52" s="94"/>
      <c r="B52" s="94"/>
      <c r="E52" s="94"/>
      <c r="F52" s="94"/>
      <c r="O52" s="97" t="s">
        <v>5206</v>
      </c>
      <c r="P52" s="18">
        <v>-700000</v>
      </c>
      <c r="Q52" s="97">
        <v>46</v>
      </c>
      <c r="R52" s="97"/>
    </row>
    <row r="53" spans="1:21">
      <c r="A53" s="94"/>
      <c r="B53" s="94"/>
      <c r="E53" s="94"/>
      <c r="F53" s="94"/>
      <c r="K53" t="s">
        <v>25</v>
      </c>
      <c r="O53" s="97" t="s">
        <v>5256</v>
      </c>
      <c r="P53" s="18">
        <v>1000000</v>
      </c>
      <c r="Q53" s="97">
        <v>4</v>
      </c>
      <c r="R53" s="97"/>
    </row>
    <row r="54" spans="1:21">
      <c r="A54" s="94"/>
      <c r="B54" s="94"/>
      <c r="E54" s="94"/>
      <c r="F54" s="94"/>
      <c r="O54" s="97" t="s">
        <v>5260</v>
      </c>
      <c r="P54" s="18">
        <v>1500000</v>
      </c>
      <c r="Q54" s="97">
        <v>1</v>
      </c>
      <c r="R54" s="97"/>
    </row>
    <row r="55" spans="1:21">
      <c r="A55" s="94"/>
      <c r="B55" s="94"/>
      <c r="E55" s="94"/>
      <c r="F55" s="94"/>
      <c r="O55" s="97" t="s">
        <v>5261</v>
      </c>
      <c r="P55" s="18">
        <v>-1500000</v>
      </c>
      <c r="Q55" s="97">
        <v>15</v>
      </c>
      <c r="R55" s="97"/>
    </row>
    <row r="56" spans="1:21">
      <c r="A56" s="94"/>
      <c r="B56" s="94"/>
      <c r="E56" s="94"/>
      <c r="F56" s="94"/>
      <c r="O56" s="97" t="s">
        <v>5286</v>
      </c>
      <c r="P56" s="18">
        <v>-100000</v>
      </c>
      <c r="Q56" s="97">
        <v>5</v>
      </c>
      <c r="R56" s="97"/>
    </row>
    <row r="57" spans="1:21">
      <c r="A57" s="94"/>
      <c r="B57" s="94"/>
      <c r="E57" s="94"/>
      <c r="F57" s="94"/>
      <c r="O57" s="97" t="s">
        <v>5290</v>
      </c>
      <c r="P57" s="18">
        <v>1164690</v>
      </c>
      <c r="Q57" s="97">
        <v>4</v>
      </c>
      <c r="R57" s="97"/>
      <c r="S57" t="s">
        <v>25</v>
      </c>
    </row>
    <row r="58" spans="1:21">
      <c r="A58" s="94"/>
      <c r="B58" s="94"/>
      <c r="E58" s="94"/>
      <c r="F58" s="94"/>
      <c r="O58" s="97" t="s">
        <v>5299</v>
      </c>
      <c r="P58" s="18">
        <v>1000000</v>
      </c>
      <c r="Q58" s="97">
        <v>4</v>
      </c>
      <c r="R58" s="97"/>
    </row>
    <row r="59" spans="1:21">
      <c r="A59" s="94"/>
      <c r="B59" s="94"/>
      <c r="E59" s="94"/>
      <c r="F59" s="94"/>
      <c r="O59" s="97" t="s">
        <v>5304</v>
      </c>
      <c r="P59" s="18">
        <v>-264690</v>
      </c>
      <c r="Q59" s="97">
        <v>7</v>
      </c>
      <c r="R59" s="97"/>
    </row>
    <row r="60" spans="1:21">
      <c r="A60" s="94"/>
      <c r="B60" s="94"/>
      <c r="E60" s="94"/>
      <c r="F60" s="94"/>
      <c r="N60" t="s">
        <v>25</v>
      </c>
      <c r="O60" s="97" t="s">
        <v>5320</v>
      </c>
      <c r="P60" s="18">
        <v>2700000</v>
      </c>
      <c r="Q60" s="97">
        <v>0</v>
      </c>
      <c r="R60" s="97"/>
    </row>
    <row r="61" spans="1:21">
      <c r="A61" s="94"/>
      <c r="B61" s="94"/>
      <c r="E61" s="94"/>
      <c r="F61" s="94"/>
      <c r="O61" s="97" t="s">
        <v>5320</v>
      </c>
      <c r="P61" s="18">
        <v>-1000000</v>
      </c>
      <c r="Q61" s="97">
        <v>1</v>
      </c>
      <c r="R61" s="97" t="s">
        <v>5322</v>
      </c>
    </row>
    <row r="62" spans="1:21">
      <c r="A62" s="94"/>
      <c r="B62" s="94"/>
      <c r="E62" s="94"/>
      <c r="F62" s="94"/>
      <c r="O62" s="97" t="s">
        <v>5324</v>
      </c>
      <c r="P62" s="18">
        <v>-75616</v>
      </c>
      <c r="Q62" s="97">
        <v>2</v>
      </c>
      <c r="R62" s="97" t="s">
        <v>5325</v>
      </c>
    </row>
    <row r="63" spans="1:21">
      <c r="A63" s="94"/>
      <c r="B63" s="94"/>
      <c r="E63" s="94"/>
      <c r="F63" s="94"/>
      <c r="O63" s="97" t="s">
        <v>963</v>
      </c>
      <c r="P63" s="18">
        <v>-2424384</v>
      </c>
      <c r="Q63" s="97">
        <v>2</v>
      </c>
      <c r="R63" s="97"/>
      <c r="U63" t="s">
        <v>25</v>
      </c>
    </row>
    <row r="64" spans="1:21">
      <c r="A64" s="94"/>
      <c r="B64" s="94"/>
      <c r="E64" s="94"/>
      <c r="F64" s="94"/>
      <c r="O64" s="97" t="s">
        <v>5339</v>
      </c>
      <c r="P64" s="18">
        <v>-2000000</v>
      </c>
      <c r="Q64" s="97">
        <v>6</v>
      </c>
      <c r="R64" s="97"/>
    </row>
    <row r="65" spans="1:21">
      <c r="A65" s="94"/>
      <c r="B65" s="94"/>
      <c r="E65" s="94"/>
      <c r="F65" s="94"/>
      <c r="O65" s="97" t="s">
        <v>5376</v>
      </c>
      <c r="P65" s="18">
        <v>2500000</v>
      </c>
      <c r="Q65" s="97">
        <v>1</v>
      </c>
      <c r="R65" s="97"/>
    </row>
    <row r="66" spans="1:21">
      <c r="A66" s="94"/>
      <c r="B66" s="94"/>
      <c r="E66" s="94"/>
      <c r="F66" s="94"/>
      <c r="O66" s="97" t="s">
        <v>5379</v>
      </c>
      <c r="P66" s="18">
        <v>3000000</v>
      </c>
      <c r="Q66" s="97">
        <v>3</v>
      </c>
      <c r="R66" s="97"/>
    </row>
    <row r="67" spans="1:21">
      <c r="A67" s="94"/>
      <c r="B67" s="94"/>
      <c r="E67" s="94"/>
      <c r="F67" s="94"/>
      <c r="O67" s="97" t="s">
        <v>5385</v>
      </c>
      <c r="P67" s="18">
        <v>-300000</v>
      </c>
      <c r="Q67" s="97">
        <v>5</v>
      </c>
      <c r="R67" s="97"/>
    </row>
    <row r="68" spans="1:21">
      <c r="A68" s="94"/>
      <c r="B68" s="94"/>
      <c r="E68" s="94"/>
      <c r="F68" s="94"/>
      <c r="O68" s="97" t="s">
        <v>5396</v>
      </c>
      <c r="P68" s="18">
        <v>500000</v>
      </c>
      <c r="Q68" s="97">
        <v>1</v>
      </c>
      <c r="R68" s="97"/>
    </row>
    <row r="69" spans="1:21">
      <c r="A69" s="94"/>
      <c r="B69" s="94"/>
      <c r="E69" s="94"/>
      <c r="F69" s="94"/>
      <c r="O69" s="97" t="s">
        <v>5398</v>
      </c>
      <c r="P69" s="18">
        <v>1000000</v>
      </c>
      <c r="Q69" s="97">
        <v>5</v>
      </c>
      <c r="R69" s="97"/>
    </row>
    <row r="70" spans="1:21">
      <c r="A70" s="94"/>
      <c r="B70" s="94"/>
      <c r="E70" s="94"/>
      <c r="F70" s="94"/>
      <c r="O70" s="97" t="s">
        <v>5403</v>
      </c>
      <c r="P70" s="18">
        <v>-2700000</v>
      </c>
      <c r="Q70" s="97">
        <v>1</v>
      </c>
      <c r="R70" s="97"/>
    </row>
    <row r="71" spans="1:21">
      <c r="A71" s="94"/>
      <c r="B71" s="94"/>
      <c r="E71" s="94"/>
      <c r="F71" s="94"/>
      <c r="M71" t="s">
        <v>25</v>
      </c>
      <c r="O71" s="97" t="s">
        <v>5404</v>
      </c>
      <c r="P71" s="18">
        <v>-3600000</v>
      </c>
      <c r="Q71" s="97">
        <v>1</v>
      </c>
      <c r="R71" s="97"/>
    </row>
    <row r="72" spans="1:21">
      <c r="A72" s="94"/>
      <c r="B72" s="94"/>
      <c r="E72" s="94"/>
      <c r="F72" s="94"/>
      <c r="O72" s="97" t="s">
        <v>987</v>
      </c>
      <c r="P72" s="18">
        <v>-400000</v>
      </c>
      <c r="Q72" s="97">
        <v>17</v>
      </c>
      <c r="R72" s="97"/>
    </row>
    <row r="73" spans="1:21">
      <c r="A73" s="94"/>
      <c r="B73" s="94"/>
      <c r="E73" s="94"/>
      <c r="F73" s="94"/>
      <c r="O73" s="97" t="s">
        <v>5424</v>
      </c>
      <c r="P73" s="18">
        <v>1000000</v>
      </c>
      <c r="Q73" s="97">
        <v>20</v>
      </c>
      <c r="R73" s="97"/>
    </row>
    <row r="74" spans="1:21">
      <c r="A74" s="94"/>
      <c r="B74" s="94"/>
      <c r="E74" s="94"/>
      <c r="F74" s="94"/>
      <c r="O74" s="97" t="s">
        <v>5444</v>
      </c>
      <c r="P74" s="18">
        <v>-1000000</v>
      </c>
      <c r="Q74" s="97">
        <v>25</v>
      </c>
      <c r="R74" s="97"/>
    </row>
    <row r="75" spans="1:21">
      <c r="A75" s="94"/>
      <c r="B75" s="94"/>
      <c r="E75" s="94"/>
      <c r="F75" s="94"/>
      <c r="O75" s="97" t="s">
        <v>5477</v>
      </c>
      <c r="P75" s="18">
        <v>300000</v>
      </c>
      <c r="Q75" s="97">
        <v>3</v>
      </c>
      <c r="R75" s="97"/>
    </row>
    <row r="76" spans="1:21">
      <c r="A76" s="94"/>
      <c r="B76" s="94"/>
      <c r="E76" s="94"/>
      <c r="F76" s="94"/>
      <c r="O76" s="97" t="s">
        <v>5482</v>
      </c>
      <c r="P76" s="18">
        <v>-300000</v>
      </c>
      <c r="Q76" s="97">
        <v>9</v>
      </c>
      <c r="R76" s="97"/>
    </row>
    <row r="77" spans="1:21">
      <c r="A77" s="94"/>
      <c r="B77" s="94"/>
      <c r="E77" s="94"/>
      <c r="F77" s="94"/>
      <c r="O77" s="97" t="s">
        <v>5501</v>
      </c>
      <c r="P77" s="18">
        <v>1000000</v>
      </c>
      <c r="Q77" s="97">
        <v>24</v>
      </c>
      <c r="R77" s="97"/>
      <c r="U77" t="s">
        <v>25</v>
      </c>
    </row>
    <row r="78" spans="1:21">
      <c r="A78" s="94"/>
      <c r="B78" s="94"/>
      <c r="E78" s="94"/>
      <c r="F78" s="94"/>
      <c r="M78" t="s">
        <v>25</v>
      </c>
      <c r="O78" s="97" t="s">
        <v>5547</v>
      </c>
      <c r="P78" s="18">
        <v>-1380100</v>
      </c>
      <c r="Q78" s="97">
        <v>11</v>
      </c>
      <c r="R78" s="97"/>
    </row>
    <row r="79" spans="1:21">
      <c r="A79" s="94"/>
      <c r="B79" s="94"/>
      <c r="E79" s="94"/>
      <c r="F79" s="94"/>
      <c r="L79" s="112"/>
      <c r="O79" s="97" t="s">
        <v>5564</v>
      </c>
      <c r="P79" s="18">
        <v>1280015</v>
      </c>
      <c r="Q79" s="97">
        <v>0</v>
      </c>
      <c r="R79" s="97"/>
    </row>
    <row r="80" spans="1:21">
      <c r="A80" s="94"/>
      <c r="B80" s="94"/>
      <c r="E80" s="94"/>
      <c r="F80" s="94"/>
      <c r="O80" s="97" t="s">
        <v>5564</v>
      </c>
      <c r="P80" s="18">
        <v>300000</v>
      </c>
      <c r="Q80" s="97">
        <v>7</v>
      </c>
      <c r="R80" s="97"/>
    </row>
    <row r="81" spans="2:26">
      <c r="B81" s="94"/>
      <c r="E81" s="94"/>
      <c r="F81" s="94"/>
      <c r="O81" s="97" t="s">
        <v>5571</v>
      </c>
      <c r="P81" s="18">
        <v>3000000</v>
      </c>
      <c r="Q81" s="97">
        <v>3</v>
      </c>
      <c r="R81" s="97"/>
    </row>
    <row r="82" spans="2:26">
      <c r="E82" s="94"/>
      <c r="F82" s="94"/>
      <c r="O82" s="97" t="s">
        <v>5590</v>
      </c>
      <c r="P82" s="18">
        <v>300000</v>
      </c>
      <c r="Q82" s="97">
        <v>8</v>
      </c>
      <c r="R82" s="97"/>
    </row>
    <row r="83" spans="2:26">
      <c r="E83" s="94"/>
      <c r="F83" s="94"/>
      <c r="O83" s="97" t="s">
        <v>5612</v>
      </c>
      <c r="P83" s="18">
        <v>-3500000</v>
      </c>
      <c r="Q83" s="97">
        <v>6</v>
      </c>
      <c r="R83" s="97"/>
    </row>
    <row r="84" spans="2:26">
      <c r="E84" s="94"/>
      <c r="F84" s="94"/>
      <c r="O84" s="97" t="s">
        <v>5617</v>
      </c>
      <c r="P84" s="18">
        <v>-70000</v>
      </c>
      <c r="Q84" s="97">
        <v>1</v>
      </c>
      <c r="R84" s="97"/>
    </row>
    <row r="85" spans="2:26">
      <c r="E85" s="94"/>
      <c r="F85" s="94"/>
      <c r="M85" t="s">
        <v>25</v>
      </c>
      <c r="O85" s="97" t="s">
        <v>5621</v>
      </c>
      <c r="P85" s="18">
        <v>70085</v>
      </c>
      <c r="Q85" s="97">
        <v>7</v>
      </c>
      <c r="R85" s="97" t="s">
        <v>5622</v>
      </c>
    </row>
    <row r="86" spans="2:26">
      <c r="E86" s="94"/>
      <c r="F86" s="94"/>
      <c r="O86" s="97" t="s">
        <v>5628</v>
      </c>
      <c r="P86" s="18">
        <v>-1000000</v>
      </c>
      <c r="Q86" s="97">
        <v>31</v>
      </c>
      <c r="R86" s="97"/>
    </row>
    <row r="87" spans="2:26">
      <c r="O87" s="97" t="s">
        <v>5657</v>
      </c>
      <c r="P87" s="18">
        <v>6000000</v>
      </c>
      <c r="Q87" s="97">
        <v>1</v>
      </c>
      <c r="R87" s="97"/>
      <c r="S87" t="s">
        <v>25</v>
      </c>
    </row>
    <row r="88" spans="2:26">
      <c r="O88" s="97" t="s">
        <v>5658</v>
      </c>
      <c r="P88" s="18">
        <v>6000000</v>
      </c>
      <c r="Q88" s="97">
        <v>11</v>
      </c>
      <c r="R88" s="97"/>
    </row>
    <row r="89" spans="2:26">
      <c r="O89" s="97" t="s">
        <v>5673</v>
      </c>
      <c r="P89" s="18">
        <v>48000000</v>
      </c>
      <c r="Q89" s="97">
        <v>8</v>
      </c>
      <c r="R89" s="97"/>
    </row>
    <row r="90" spans="2:26">
      <c r="O90" s="97" t="s">
        <v>5696</v>
      </c>
      <c r="P90" s="18">
        <v>-400000</v>
      </c>
      <c r="Q90" s="97">
        <v>23</v>
      </c>
      <c r="R90" s="97"/>
    </row>
    <row r="91" spans="2:26">
      <c r="O91" s="97" t="s">
        <v>5735</v>
      </c>
      <c r="P91" s="18">
        <v>500000</v>
      </c>
      <c r="Q91" s="97">
        <v>4</v>
      </c>
      <c r="R91" s="97"/>
    </row>
    <row r="92" spans="2:26">
      <c r="O92" s="97" t="s">
        <v>5739</v>
      </c>
      <c r="P92" s="18">
        <v>-500000</v>
      </c>
      <c r="Q92" s="97">
        <v>48</v>
      </c>
      <c r="R92" s="97"/>
      <c r="T92" t="s">
        <v>25</v>
      </c>
    </row>
    <row r="93" spans="2:26">
      <c r="O93" s="97" t="s">
        <v>5808</v>
      </c>
      <c r="P93" s="18">
        <v>2000000</v>
      </c>
      <c r="Q93" s="97">
        <v>11</v>
      </c>
      <c r="R93" s="97"/>
    </row>
    <row r="94" spans="2:26">
      <c r="O94" s="97" t="s">
        <v>5826</v>
      </c>
      <c r="P94" s="18">
        <v>-2000000</v>
      </c>
      <c r="Q94" s="97">
        <v>1</v>
      </c>
      <c r="R94" s="97"/>
      <c r="T94" t="s">
        <v>25</v>
      </c>
    </row>
    <row r="95" spans="2:26">
      <c r="O95" s="97" t="s">
        <v>5829</v>
      </c>
      <c r="P95" s="18">
        <v>-42203</v>
      </c>
      <c r="Q95" s="97">
        <v>2</v>
      </c>
      <c r="R95" s="97" t="s">
        <v>5835</v>
      </c>
      <c r="Z95" t="s">
        <v>25</v>
      </c>
    </row>
    <row r="96" spans="2:26">
      <c r="O96" s="97" t="s">
        <v>5839</v>
      </c>
      <c r="P96" s="18">
        <v>-365000</v>
      </c>
      <c r="Q96" s="97">
        <v>5</v>
      </c>
      <c r="R96" s="97" t="s">
        <v>5840</v>
      </c>
    </row>
    <row r="97" spans="15:18">
      <c r="O97" s="97" t="s">
        <v>5847</v>
      </c>
      <c r="P97" s="18">
        <v>12000000</v>
      </c>
      <c r="Q97" s="97">
        <v>9</v>
      </c>
      <c r="R97" s="97" t="s">
        <v>5848</v>
      </c>
    </row>
    <row r="98" spans="15:18">
      <c r="O98" s="97" t="s">
        <v>5870</v>
      </c>
      <c r="P98" s="18">
        <v>-4000000</v>
      </c>
      <c r="Q98" s="97">
        <v>3</v>
      </c>
      <c r="R98" s="97"/>
    </row>
    <row r="99" spans="15:18">
      <c r="O99" s="97" t="s">
        <v>5877</v>
      </c>
      <c r="P99" s="18">
        <v>-5000000</v>
      </c>
      <c r="Q99" s="97" t="s">
        <v>25</v>
      </c>
      <c r="R99" s="97"/>
    </row>
    <row r="100" spans="15:18">
      <c r="O100" s="97" t="s">
        <v>5875</v>
      </c>
      <c r="P100" s="18">
        <v>-2500000</v>
      </c>
      <c r="Q100" s="97">
        <v>1</v>
      </c>
      <c r="R100" s="97"/>
    </row>
    <row r="101" spans="15:18">
      <c r="O101" s="97" t="s">
        <v>5876</v>
      </c>
      <c r="P101" s="18">
        <v>-500000</v>
      </c>
      <c r="Q101" s="97">
        <v>17</v>
      </c>
      <c r="R101" s="97"/>
    </row>
    <row r="102" spans="15:18">
      <c r="O102" s="97" t="s">
        <v>5878</v>
      </c>
      <c r="P102" s="18">
        <v>-192797</v>
      </c>
      <c r="Q102" s="97">
        <v>15</v>
      </c>
      <c r="R102" s="97"/>
    </row>
    <row r="103" spans="15:18">
      <c r="O103" s="97" t="s">
        <v>5888</v>
      </c>
      <c r="P103" s="18">
        <v>2000000</v>
      </c>
      <c r="Q103" s="97">
        <v>1</v>
      </c>
      <c r="R103" s="97"/>
    </row>
    <row r="104" spans="15:18">
      <c r="O104" s="97" t="s">
        <v>25</v>
      </c>
      <c r="P104" s="18"/>
      <c r="Q104" s="97"/>
      <c r="R104" s="97"/>
    </row>
    <row r="105" spans="15:18">
      <c r="O105" s="97"/>
      <c r="P105" s="18"/>
      <c r="Q105" s="97"/>
      <c r="R105" s="97"/>
    </row>
    <row r="106" spans="15:18">
      <c r="O106" s="97"/>
      <c r="P106" s="18"/>
      <c r="Q106" s="97"/>
      <c r="R106" s="97"/>
    </row>
    <row r="107" spans="15:18">
      <c r="O107" s="97"/>
      <c r="P107" s="18">
        <f>SUM(P14:P106)</f>
        <v>61000000</v>
      </c>
      <c r="Q107" s="97"/>
      <c r="R107" s="97"/>
    </row>
    <row r="108" spans="15:18">
      <c r="P108" t="s">
        <v>4928</v>
      </c>
    </row>
    <row r="110" spans="15:18">
      <c r="O110" t="s">
        <v>25</v>
      </c>
    </row>
    <row r="112" spans="15:18">
      <c r="Q112" t="s">
        <v>25</v>
      </c>
    </row>
    <row r="113" spans="15:18">
      <c r="O113" t="s">
        <v>25</v>
      </c>
      <c r="R113" t="s">
        <v>25</v>
      </c>
    </row>
    <row r="114" spans="15:18">
      <c r="P114" t="s">
        <v>25</v>
      </c>
      <c r="R114" t="s">
        <v>25</v>
      </c>
    </row>
    <row r="115" spans="15:18">
      <c r="R115" t="s">
        <v>25</v>
      </c>
    </row>
    <row r="116" spans="15:18">
      <c r="O116" t="s">
        <v>25</v>
      </c>
    </row>
    <row r="118" spans="15:18">
      <c r="R118"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5095</v>
      </c>
      <c r="I88" t="s">
        <v>25</v>
      </c>
    </row>
    <row r="89" spans="1:21">
      <c r="D89" s="18">
        <v>-250000</v>
      </c>
      <c r="E89" s="247" t="s">
        <v>5107</v>
      </c>
    </row>
    <row r="90" spans="1:21">
      <c r="D90" s="18">
        <v>-45000</v>
      </c>
      <c r="E90" s="247" t="s">
        <v>5130</v>
      </c>
    </row>
    <row r="91" spans="1:21">
      <c r="D91" s="18">
        <v>3000000</v>
      </c>
      <c r="E91" s="247" t="s">
        <v>5131</v>
      </c>
      <c r="I91" t="s">
        <v>25</v>
      </c>
    </row>
    <row r="92" spans="1:21">
      <c r="D92" s="18">
        <v>-550000</v>
      </c>
      <c r="E92" s="247" t="s">
        <v>5132</v>
      </c>
    </row>
    <row r="93" spans="1:21">
      <c r="D93" s="18">
        <v>-200000</v>
      </c>
      <c r="E93" s="247" t="s">
        <v>5146</v>
      </c>
      <c r="G93" t="s">
        <v>25</v>
      </c>
    </row>
    <row r="94" spans="1:21">
      <c r="D94" s="18">
        <v>-30500</v>
      </c>
      <c r="E94" s="247" t="s">
        <v>5147</v>
      </c>
    </row>
    <row r="95" spans="1:21">
      <c r="D95" s="18">
        <v>2500000</v>
      </c>
      <c r="E95" s="247" t="s">
        <v>5180</v>
      </c>
      <c r="I95" t="s">
        <v>25</v>
      </c>
    </row>
    <row r="96" spans="1:21">
      <c r="D96" s="18">
        <v>-230000</v>
      </c>
      <c r="E96" s="247" t="s">
        <v>5186</v>
      </c>
    </row>
    <row r="97" spans="4:10">
      <c r="D97" s="18">
        <v>-168950</v>
      </c>
      <c r="E97" s="247" t="s">
        <v>4379</v>
      </c>
      <c r="J97" t="s">
        <v>25</v>
      </c>
    </row>
    <row r="98" spans="4:10">
      <c r="D98" s="18">
        <v>-250000</v>
      </c>
      <c r="E98" s="247" t="s">
        <v>5197</v>
      </c>
    </row>
    <row r="99" spans="4:10">
      <c r="D99" s="18">
        <v>500000</v>
      </c>
      <c r="E99" s="247" t="s">
        <v>5208</v>
      </c>
    </row>
    <row r="100" spans="4:10">
      <c r="D100" s="18">
        <v>-520000</v>
      </c>
      <c r="E100" s="247" t="s">
        <v>5207</v>
      </c>
      <c r="J100" t="s">
        <v>25</v>
      </c>
    </row>
    <row r="101" spans="4:10">
      <c r="D101" s="18">
        <v>500000</v>
      </c>
      <c r="E101" s="247" t="s">
        <v>5218</v>
      </c>
    </row>
    <row r="102" spans="4:10">
      <c r="D102" s="18">
        <v>-200000</v>
      </c>
      <c r="E102" s="247" t="s">
        <v>5222</v>
      </c>
    </row>
    <row r="103" spans="4:10">
      <c r="D103" s="18">
        <v>-300000</v>
      </c>
      <c r="E103" s="247" t="s">
        <v>5223</v>
      </c>
    </row>
    <row r="104" spans="4:10">
      <c r="D104" s="18">
        <v>-530000</v>
      </c>
      <c r="E104" s="247" t="s">
        <v>5241</v>
      </c>
    </row>
    <row r="105" spans="4:10">
      <c r="D105" s="18">
        <v>-550000</v>
      </c>
      <c r="E105" s="247" t="s">
        <v>5243</v>
      </c>
    </row>
    <row r="106" spans="4:10">
      <c r="D106" s="18">
        <v>-200000</v>
      </c>
      <c r="E106" s="247" t="s">
        <v>5266</v>
      </c>
    </row>
    <row r="107" spans="4:10">
      <c r="D107" s="18">
        <v>-1600000</v>
      </c>
      <c r="E107" s="247" t="s">
        <v>5268</v>
      </c>
      <c r="G107" t="s">
        <v>25</v>
      </c>
    </row>
    <row r="108" spans="4:10">
      <c r="D108" s="18">
        <v>1600000</v>
      </c>
      <c r="E108" s="247" t="s">
        <v>5273</v>
      </c>
    </row>
    <row r="109" spans="4:10">
      <c r="D109" s="18">
        <v>-550000</v>
      </c>
      <c r="E109" s="247" t="s">
        <v>5275</v>
      </c>
    </row>
    <row r="110" spans="4:10">
      <c r="D110" s="18">
        <v>-15000</v>
      </c>
      <c r="E110" s="247" t="s">
        <v>5280</v>
      </c>
    </row>
    <row r="111" spans="4:10">
      <c r="D111" s="18">
        <v>-325000</v>
      </c>
      <c r="E111" s="247" t="s">
        <v>5293</v>
      </c>
    </row>
    <row r="112" spans="4:10">
      <c r="D112" s="18">
        <v>-130000</v>
      </c>
      <c r="E112" s="247" t="s">
        <v>5294</v>
      </c>
    </row>
    <row r="113" spans="4:10">
      <c r="D113" s="18">
        <v>-250000</v>
      </c>
      <c r="E113" s="247" t="s">
        <v>5302</v>
      </c>
      <c r="J113" t="s">
        <v>25</v>
      </c>
    </row>
    <row r="114" spans="4:10">
      <c r="D114" s="18">
        <v>-750000</v>
      </c>
      <c r="E114" s="247" t="s">
        <v>5305</v>
      </c>
    </row>
    <row r="115" spans="4:10">
      <c r="D115" s="18">
        <v>250000</v>
      </c>
      <c r="E115" s="247" t="s">
        <v>5311</v>
      </c>
    </row>
    <row r="116" spans="4:10">
      <c r="D116" s="18">
        <v>-2100000</v>
      </c>
      <c r="E116" s="247" t="s">
        <v>5323</v>
      </c>
    </row>
    <row r="117" spans="4:10">
      <c r="D117" s="18">
        <v>-1000000</v>
      </c>
      <c r="E117" s="247" t="s">
        <v>5332</v>
      </c>
    </row>
    <row r="118" spans="4:10">
      <c r="D118" s="18">
        <v>-100000</v>
      </c>
      <c r="E118" s="247" t="s">
        <v>5333</v>
      </c>
    </row>
    <row r="119" spans="4:10">
      <c r="D119" s="18">
        <v>-550000</v>
      </c>
      <c r="E119" s="247" t="s">
        <v>5363</v>
      </c>
    </row>
    <row r="120" spans="4:10">
      <c r="D120" s="18">
        <v>-550000</v>
      </c>
      <c r="E120" s="247" t="s">
        <v>5364</v>
      </c>
    </row>
    <row r="121" spans="4:10">
      <c r="D121" s="18">
        <v>-390000</v>
      </c>
      <c r="E121" s="247" t="s">
        <v>5391</v>
      </c>
      <c r="H121" t="s">
        <v>25</v>
      </c>
      <c r="J121" t="s">
        <v>25</v>
      </c>
    </row>
    <row r="122" spans="4:10">
      <c r="D122" s="18">
        <v>2432520</v>
      </c>
      <c r="E122" s="247" t="s">
        <v>5392</v>
      </c>
    </row>
    <row r="123" spans="4:10">
      <c r="D123" s="18">
        <v>8000000</v>
      </c>
      <c r="E123" s="247" t="s">
        <v>5407</v>
      </c>
    </row>
    <row r="124" spans="4:10">
      <c r="D124" s="18">
        <v>-83930</v>
      </c>
      <c r="E124" s="247" t="s">
        <v>5416</v>
      </c>
    </row>
    <row r="125" spans="4:10">
      <c r="D125" s="18">
        <v>1000000</v>
      </c>
      <c r="E125" s="247" t="s">
        <v>5445</v>
      </c>
    </row>
    <row r="126" spans="4:10">
      <c r="D126" s="18">
        <v>-1333333</v>
      </c>
      <c r="E126" s="247" t="s">
        <v>5446</v>
      </c>
      <c r="J126" t="s">
        <v>25</v>
      </c>
    </row>
    <row r="127" spans="4:10">
      <c r="D127" s="18">
        <v>-1050000</v>
      </c>
      <c r="E127" s="247" t="s">
        <v>5462</v>
      </c>
    </row>
    <row r="128" spans="4:10">
      <c r="D128" s="18">
        <v>-2000000</v>
      </c>
      <c r="E128" s="247" t="s">
        <v>5473</v>
      </c>
      <c r="I128" t="s">
        <v>25</v>
      </c>
    </row>
    <row r="129" spans="4:5">
      <c r="D129" s="18">
        <v>-250000</v>
      </c>
      <c r="E129" s="247" t="s">
        <v>5481</v>
      </c>
    </row>
    <row r="130" spans="4:5">
      <c r="D130" s="18">
        <v>-550000</v>
      </c>
      <c r="E130" s="247" t="s">
        <v>5489</v>
      </c>
    </row>
    <row r="131" spans="4:5">
      <c r="D131" s="18">
        <v>210000</v>
      </c>
      <c r="E131" s="247" t="s">
        <v>5490</v>
      </c>
    </row>
    <row r="132" spans="4:5">
      <c r="D132" s="18">
        <v>-724200</v>
      </c>
      <c r="E132" s="247" t="s">
        <v>5525</v>
      </c>
    </row>
    <row r="133" spans="4:5">
      <c r="D133" s="18">
        <v>-400000</v>
      </c>
      <c r="E133" s="247" t="s">
        <v>5536</v>
      </c>
    </row>
    <row r="134" spans="4:5">
      <c r="D134" s="18">
        <v>-550000</v>
      </c>
      <c r="E134" s="247" t="s">
        <v>5548</v>
      </c>
    </row>
    <row r="135" spans="4:5">
      <c r="D135" s="18">
        <v>-2167000</v>
      </c>
      <c r="E135" s="247" t="s">
        <v>5553</v>
      </c>
    </row>
    <row r="136" spans="4:5">
      <c r="D136" s="18">
        <v>-125000</v>
      </c>
      <c r="E136" s="247" t="s">
        <v>5561</v>
      </c>
    </row>
    <row r="137" spans="4:5">
      <c r="D137" s="18">
        <v>-200000</v>
      </c>
      <c r="E137" s="247" t="s">
        <v>5568</v>
      </c>
    </row>
    <row r="138" spans="4:5">
      <c r="D138" s="18">
        <v>-2000000</v>
      </c>
      <c r="E138" s="247" t="s">
        <v>5582</v>
      </c>
    </row>
    <row r="139" spans="4:5">
      <c r="D139" s="18">
        <v>-1287000</v>
      </c>
      <c r="E139" s="247" t="s">
        <v>5589</v>
      </c>
    </row>
    <row r="140" spans="4:5">
      <c r="D140" s="18">
        <v>-2000000</v>
      </c>
      <c r="E140" s="247" t="s">
        <v>5594</v>
      </c>
    </row>
    <row r="141" spans="4:5">
      <c r="D141" s="18">
        <v>-2500000</v>
      </c>
      <c r="E141" s="247" t="s">
        <v>5595</v>
      </c>
    </row>
    <row r="142" spans="4:5">
      <c r="D142" s="18">
        <v>-500000</v>
      </c>
      <c r="E142" s="247" t="s">
        <v>5611</v>
      </c>
    </row>
    <row r="143" spans="4:5">
      <c r="D143" s="18">
        <v>-83930</v>
      </c>
      <c r="E143" s="247" t="s">
        <v>5619</v>
      </c>
    </row>
    <row r="144" spans="4:5">
      <c r="D144" s="18">
        <v>-550000</v>
      </c>
      <c r="E144" s="247" t="s">
        <v>5618</v>
      </c>
    </row>
    <row r="145" spans="4:9">
      <c r="D145" s="18">
        <v>-25000</v>
      </c>
      <c r="E145" s="247" t="s">
        <v>5627</v>
      </c>
      <c r="I145" t="s">
        <v>25</v>
      </c>
    </row>
    <row r="146" spans="4:9">
      <c r="D146" s="18">
        <v>-180000</v>
      </c>
      <c r="E146" s="247" t="s">
        <v>5681</v>
      </c>
      <c r="G146" t="s">
        <v>25</v>
      </c>
    </row>
    <row r="147" spans="4:9">
      <c r="D147" s="18">
        <v>-30000</v>
      </c>
      <c r="E147" s="247" t="s">
        <v>5680</v>
      </c>
    </row>
    <row r="148" spans="4:9">
      <c r="D148" s="18">
        <v>-47000</v>
      </c>
      <c r="E148" s="247" t="s">
        <v>5679</v>
      </c>
    </row>
    <row r="149" spans="4:9">
      <c r="D149" s="18">
        <v>-1000000</v>
      </c>
      <c r="E149" s="247" t="s">
        <v>5682</v>
      </c>
    </row>
    <row r="150" spans="4:9">
      <c r="D150" s="18">
        <v>-500000</v>
      </c>
      <c r="E150" s="247" t="s">
        <v>5701</v>
      </c>
    </row>
    <row r="151" spans="4:9">
      <c r="D151" s="18">
        <v>-5000000</v>
      </c>
      <c r="E151" s="247" t="s">
        <v>5707</v>
      </c>
    </row>
    <row r="152" spans="4:9">
      <c r="D152" s="18">
        <v>-200000</v>
      </c>
      <c r="E152" s="247" t="s">
        <v>5718</v>
      </c>
    </row>
    <row r="153" spans="4:9">
      <c r="D153" s="18">
        <v>-268000</v>
      </c>
      <c r="E153" s="247" t="s">
        <v>5752</v>
      </c>
      <c r="I153" t="s">
        <v>25</v>
      </c>
    </row>
    <row r="154" spans="4:9">
      <c r="D154" s="18">
        <v>-1800000</v>
      </c>
      <c r="E154" s="247" t="s">
        <v>5775</v>
      </c>
    </row>
    <row r="155" spans="4:9" ht="30">
      <c r="D155" s="18">
        <v>-3200000</v>
      </c>
      <c r="E155" s="247" t="s">
        <v>5776</v>
      </c>
      <c r="I155" t="s">
        <v>25</v>
      </c>
    </row>
    <row r="156" spans="4:9">
      <c r="D156" s="18">
        <v>-300000</v>
      </c>
      <c r="E156" s="247" t="s">
        <v>5786</v>
      </c>
    </row>
    <row r="157" spans="4:9">
      <c r="D157" s="18">
        <v>-1300000</v>
      </c>
      <c r="E157" s="247" t="s">
        <v>5787</v>
      </c>
    </row>
    <row r="158" spans="4:9">
      <c r="D158" s="18">
        <v>860000</v>
      </c>
      <c r="E158" s="247" t="s">
        <v>5807</v>
      </c>
    </row>
    <row r="159" spans="4:9">
      <c r="D159" s="18">
        <v>-83900</v>
      </c>
      <c r="E159" s="247" t="s">
        <v>5823</v>
      </c>
      <c r="I159" t="s">
        <v>25</v>
      </c>
    </row>
    <row r="160" spans="4:9">
      <c r="D160" s="18">
        <v>-3810000</v>
      </c>
      <c r="E160" s="247" t="s">
        <v>5845</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4" t="s">
        <v>1073</v>
      </c>
      <c r="R21" s="324"/>
      <c r="S21" s="324"/>
      <c r="T21" s="324"/>
      <c r="U21" s="94"/>
      <c r="V21" s="94"/>
      <c r="W21" s="41" t="s">
        <v>4977</v>
      </c>
      <c r="X21" s="41">
        <v>9035210431</v>
      </c>
      <c r="Y21" s="41">
        <v>50</v>
      </c>
      <c r="Z21" s="41" t="s">
        <v>5248</v>
      </c>
      <c r="AA21" t="s">
        <v>4995</v>
      </c>
    </row>
    <row r="22" spans="5:35">
      <c r="O22" s="97"/>
      <c r="P22" s="97"/>
      <c r="Q22" s="324"/>
      <c r="R22" s="324"/>
      <c r="S22" s="324"/>
      <c r="T22" s="324"/>
      <c r="U22" s="94"/>
      <c r="V22" s="94"/>
      <c r="W22" s="41" t="s">
        <v>5066</v>
      </c>
      <c r="X22" s="41">
        <v>9909620343</v>
      </c>
      <c r="Y22" s="41">
        <v>200</v>
      </c>
      <c r="Z22" s="41" t="s">
        <v>5249</v>
      </c>
      <c r="AA22" t="s">
        <v>5252</v>
      </c>
      <c r="AB22" s="41" t="s">
        <v>5260</v>
      </c>
    </row>
    <row r="23" spans="5:35" ht="15.75">
      <c r="O23" s="176"/>
      <c r="P23" s="97" t="s">
        <v>4070</v>
      </c>
      <c r="Q23" s="325" t="s">
        <v>1074</v>
      </c>
      <c r="R23" s="326" t="s">
        <v>1075</v>
      </c>
      <c r="S23" s="325" t="s">
        <v>1076</v>
      </c>
      <c r="T23" s="327" t="s">
        <v>1077</v>
      </c>
      <c r="W23" s="41" t="s">
        <v>5067</v>
      </c>
      <c r="X23" s="41">
        <v>9378807702</v>
      </c>
      <c r="Y23" s="41">
        <v>0</v>
      </c>
      <c r="Z23" s="41">
        <v>0</v>
      </c>
      <c r="AD23" t="s">
        <v>25</v>
      </c>
    </row>
    <row r="24" spans="5:35">
      <c r="O24" s="97"/>
      <c r="P24" s="97"/>
      <c r="Q24" s="325"/>
      <c r="R24" s="326"/>
      <c r="S24" s="325"/>
      <c r="T24" s="327"/>
      <c r="W24" s="41" t="s">
        <v>5090</v>
      </c>
      <c r="X24" s="41"/>
      <c r="Y24" s="41">
        <v>200</v>
      </c>
      <c r="Z24" s="41" t="s">
        <v>4493</v>
      </c>
      <c r="AA24" t="s">
        <v>5102</v>
      </c>
      <c r="AB24" t="s">
        <v>5154</v>
      </c>
    </row>
    <row r="25" spans="5:35">
      <c r="O25" s="171" t="s">
        <v>4125</v>
      </c>
      <c r="P25" s="171">
        <v>2182188507</v>
      </c>
      <c r="Q25" s="172" t="s">
        <v>1078</v>
      </c>
      <c r="R25" s="172" t="s">
        <v>4071</v>
      </c>
      <c r="S25" s="172" t="s">
        <v>4076</v>
      </c>
      <c r="T25" s="172" t="s">
        <v>1079</v>
      </c>
      <c r="W25" s="41" t="s">
        <v>5109</v>
      </c>
      <c r="X25" s="41">
        <v>9013075723</v>
      </c>
      <c r="Y25" s="41">
        <v>100</v>
      </c>
      <c r="Z25" s="41" t="s">
        <v>5248</v>
      </c>
      <c r="AA25" t="s">
        <v>5176</v>
      </c>
    </row>
    <row r="26" spans="5:35">
      <c r="O26" s="171"/>
      <c r="P26" s="171">
        <v>2123095122</v>
      </c>
      <c r="Q26" s="173" t="s">
        <v>1080</v>
      </c>
      <c r="R26" s="173" t="s">
        <v>1081</v>
      </c>
      <c r="S26" s="173" t="s">
        <v>1082</v>
      </c>
      <c r="T26" s="173" t="s">
        <v>1083</v>
      </c>
      <c r="U26" s="94"/>
      <c r="V26" s="94"/>
      <c r="W26" s="41" t="s">
        <v>5250</v>
      </c>
      <c r="X26" s="41">
        <v>9214923916</v>
      </c>
      <c r="Y26" s="41">
        <v>100</v>
      </c>
      <c r="Z26" s="41" t="s">
        <v>4493</v>
      </c>
      <c r="AA26" s="204" t="s">
        <v>5244</v>
      </c>
      <c r="AB26" s="94"/>
    </row>
    <row r="27" spans="5:35" ht="30">
      <c r="O27" s="171" t="s">
        <v>4180</v>
      </c>
      <c r="P27" s="171">
        <v>2188831909</v>
      </c>
      <c r="Q27" s="97" t="s">
        <v>4073</v>
      </c>
      <c r="R27" s="97" t="s">
        <v>4074</v>
      </c>
      <c r="S27" s="97" t="s">
        <v>4075</v>
      </c>
      <c r="T27" s="174" t="s">
        <v>4077</v>
      </c>
      <c r="U27" s="94"/>
      <c r="V27" s="94"/>
      <c r="W27" s="41" t="s">
        <v>5251</v>
      </c>
      <c r="X27" s="41" t="s">
        <v>5301</v>
      </c>
      <c r="Y27" s="41">
        <v>80</v>
      </c>
      <c r="Z27" s="41" t="s">
        <v>5248</v>
      </c>
      <c r="AA27" s="204" t="s">
        <v>5244</v>
      </c>
      <c r="AB27" s="94"/>
    </row>
    <row r="28" spans="5:35" ht="60">
      <c r="E28" t="s">
        <v>25</v>
      </c>
      <c r="T28" s="22" t="s">
        <v>4063</v>
      </c>
      <c r="U28" s="94"/>
      <c r="V28" s="94"/>
      <c r="W28" s="41" t="s">
        <v>5608</v>
      </c>
      <c r="X28" s="41">
        <v>9373349244</v>
      </c>
      <c r="Y28" s="41">
        <v>150</v>
      </c>
      <c r="Z28" s="41" t="s">
        <v>5609</v>
      </c>
      <c r="AA28" s="94" t="s">
        <v>5603</v>
      </c>
      <c r="AB28" s="94"/>
    </row>
    <row r="29" spans="5:35">
      <c r="R29" s="94"/>
      <c r="S29" s="94"/>
      <c r="T29" s="94"/>
      <c r="U29" s="94"/>
      <c r="V29" s="94"/>
      <c r="W29" s="41" t="s">
        <v>5636</v>
      </c>
      <c r="X29" s="41">
        <v>9332154549</v>
      </c>
      <c r="Y29" s="41">
        <v>120</v>
      </c>
      <c r="Z29" s="41" t="s">
        <v>5609</v>
      </c>
      <c r="AA29" s="94" t="s">
        <v>5634</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5312</v>
      </c>
      <c r="E1" s="97"/>
      <c r="F1" s="97"/>
      <c r="G1" s="97"/>
      <c r="H1" s="97"/>
      <c r="I1" s="97"/>
    </row>
    <row r="2" spans="1:15">
      <c r="A2" s="97">
        <v>1</v>
      </c>
      <c r="B2" s="97" t="s">
        <v>5220</v>
      </c>
      <c r="C2" s="93">
        <v>28500</v>
      </c>
      <c r="D2" s="97" t="s">
        <v>5315</v>
      </c>
      <c r="E2" s="97"/>
      <c r="F2" s="97"/>
      <c r="G2" s="97"/>
      <c r="H2" s="97"/>
      <c r="I2" s="97"/>
    </row>
    <row r="3" spans="1:15">
      <c r="A3" s="97">
        <v>2</v>
      </c>
      <c r="B3" s="97" t="s">
        <v>5247</v>
      </c>
      <c r="C3" s="93">
        <v>180200</v>
      </c>
      <c r="D3" s="97" t="s">
        <v>5314</v>
      </c>
      <c r="E3" s="97"/>
      <c r="F3" s="97"/>
      <c r="G3" s="97"/>
      <c r="H3" s="97"/>
      <c r="I3" s="97"/>
    </row>
    <row r="4" spans="1:15">
      <c r="A4" s="97">
        <v>3</v>
      </c>
      <c r="B4" s="97" t="s">
        <v>5308</v>
      </c>
      <c r="C4" s="93">
        <v>187000</v>
      </c>
      <c r="D4" s="97" t="s">
        <v>5313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5111</v>
      </c>
      <c r="B312" s="111">
        <v>-8500</v>
      </c>
      <c r="C312" s="97">
        <v>1</v>
      </c>
      <c r="D312" s="97">
        <f t="shared" si="15"/>
        <v>295</v>
      </c>
      <c r="E312" s="97">
        <f t="shared" si="16"/>
        <v>0</v>
      </c>
      <c r="F312" s="97">
        <f t="shared" si="9"/>
        <v>-2507500</v>
      </c>
      <c r="G312" s="97"/>
    </row>
    <row r="313" spans="1:11">
      <c r="A313" s="97" t="s">
        <v>5088</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5112</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5091</v>
      </c>
      <c r="B319" s="111">
        <v>-4000</v>
      </c>
      <c r="C319" s="97">
        <v>11</v>
      </c>
      <c r="D319" s="97">
        <f t="shared" ref="D319:D326" si="18">D320+C319</f>
        <v>285</v>
      </c>
      <c r="E319" s="97">
        <f t="shared" ref="E319:E326" si="19">IF(B320&gt;0,1,0)</f>
        <v>1</v>
      </c>
      <c r="F319" s="97">
        <f t="shared" si="17"/>
        <v>-1136000</v>
      </c>
      <c r="G319" s="97"/>
    </row>
    <row r="320" spans="1:11">
      <c r="A320" s="97" t="s">
        <v>5113</v>
      </c>
      <c r="B320" s="111">
        <v>6300000</v>
      </c>
      <c r="C320" s="97">
        <v>1</v>
      </c>
      <c r="D320" s="97">
        <f t="shared" si="18"/>
        <v>274</v>
      </c>
      <c r="E320" s="97">
        <f t="shared" si="19"/>
        <v>0</v>
      </c>
      <c r="F320" s="97">
        <f t="shared" si="17"/>
        <v>1726200000</v>
      </c>
      <c r="G320" s="97"/>
    </row>
    <row r="321" spans="1:9">
      <c r="A321" s="97" t="s">
        <v>5137</v>
      </c>
      <c r="B321" s="111">
        <v>-6000000</v>
      </c>
      <c r="C321" s="97">
        <v>2</v>
      </c>
      <c r="D321" s="97">
        <f t="shared" si="18"/>
        <v>273</v>
      </c>
      <c r="E321" s="97">
        <f t="shared" si="19"/>
        <v>0</v>
      </c>
      <c r="F321" s="97">
        <f t="shared" si="17"/>
        <v>-1638000000</v>
      </c>
      <c r="G321" s="97"/>
    </row>
    <row r="322" spans="1:9">
      <c r="A322" s="97" t="s">
        <v>5135</v>
      </c>
      <c r="B322" s="111">
        <v>-295000</v>
      </c>
      <c r="C322" s="97">
        <v>0</v>
      </c>
      <c r="D322" s="97">
        <f t="shared" si="18"/>
        <v>271</v>
      </c>
      <c r="E322" s="97">
        <f t="shared" si="19"/>
        <v>1</v>
      </c>
      <c r="F322" s="97">
        <f t="shared" si="17"/>
        <v>-79650000</v>
      </c>
      <c r="G322" s="97"/>
    </row>
    <row r="323" spans="1:9">
      <c r="A323" s="97" t="s">
        <v>5135</v>
      </c>
      <c r="B323" s="111">
        <v>483</v>
      </c>
      <c r="C323" s="97">
        <v>8</v>
      </c>
      <c r="D323" s="97">
        <f t="shared" si="18"/>
        <v>271</v>
      </c>
      <c r="E323" s="97">
        <f t="shared" si="19"/>
        <v>1</v>
      </c>
      <c r="F323" s="97">
        <f t="shared" si="17"/>
        <v>130410</v>
      </c>
      <c r="G323" s="97" t="s">
        <v>688</v>
      </c>
      <c r="I323" t="s">
        <v>25</v>
      </c>
    </row>
    <row r="324" spans="1:9">
      <c r="A324" s="97" t="s">
        <v>5154</v>
      </c>
      <c r="B324" s="111">
        <v>1700000</v>
      </c>
      <c r="C324" s="97">
        <v>0</v>
      </c>
      <c r="D324" s="97">
        <f t="shared" si="18"/>
        <v>263</v>
      </c>
      <c r="E324" s="97">
        <f t="shared" si="19"/>
        <v>0</v>
      </c>
      <c r="F324" s="97">
        <f t="shared" si="17"/>
        <v>447100000</v>
      </c>
      <c r="G324" s="97"/>
    </row>
    <row r="325" spans="1:9">
      <c r="A325" s="97" t="s">
        <v>5154</v>
      </c>
      <c r="B325" s="111">
        <v>-53000</v>
      </c>
      <c r="C325" s="97">
        <v>1</v>
      </c>
      <c r="D325" s="97">
        <f t="shared" si="18"/>
        <v>263</v>
      </c>
      <c r="E325" s="97">
        <f t="shared" si="19"/>
        <v>0</v>
      </c>
      <c r="F325" s="97">
        <f t="shared" si="17"/>
        <v>-13939000</v>
      </c>
      <c r="G325" s="97"/>
    </row>
    <row r="326" spans="1:9">
      <c r="A326" s="97" t="s">
        <v>5155</v>
      </c>
      <c r="B326" s="111">
        <v>-1300000</v>
      </c>
      <c r="C326" s="97">
        <v>0</v>
      </c>
      <c r="D326" s="97">
        <f t="shared" si="18"/>
        <v>262</v>
      </c>
      <c r="E326" s="97">
        <f t="shared" si="19"/>
        <v>0</v>
      </c>
      <c r="F326" s="97">
        <f t="shared" si="17"/>
        <v>-340600000</v>
      </c>
      <c r="G326" s="97"/>
      <c r="I326" t="s">
        <v>25</v>
      </c>
    </row>
    <row r="327" spans="1:9">
      <c r="A327" s="97" t="s">
        <v>5155</v>
      </c>
      <c r="B327" s="111">
        <v>-41500</v>
      </c>
      <c r="C327" s="97">
        <v>1</v>
      </c>
      <c r="D327" s="97">
        <f t="shared" ref="D327:D333" si="20">D328+C327</f>
        <v>262</v>
      </c>
      <c r="E327" s="97">
        <f t="shared" ref="E327:E333" si="21">IF(B328&gt;0,1,0)</f>
        <v>0</v>
      </c>
      <c r="F327" s="97">
        <f t="shared" si="17"/>
        <v>-10873000</v>
      </c>
      <c r="G327" s="97"/>
    </row>
    <row r="328" spans="1:9">
      <c r="A328" s="97" t="s">
        <v>5158</v>
      </c>
      <c r="B328" s="111">
        <v>-57700</v>
      </c>
      <c r="C328" s="97">
        <v>3</v>
      </c>
      <c r="D328" s="97">
        <f t="shared" si="20"/>
        <v>261</v>
      </c>
      <c r="E328" s="97">
        <f t="shared" si="21"/>
        <v>0</v>
      </c>
      <c r="F328" s="97">
        <f t="shared" si="17"/>
        <v>-15059700</v>
      </c>
      <c r="G328" s="97"/>
    </row>
    <row r="329" spans="1:9">
      <c r="A329" s="97" t="s">
        <v>5161</v>
      </c>
      <c r="B329" s="111">
        <v>-5600</v>
      </c>
      <c r="C329" s="97">
        <v>1</v>
      </c>
      <c r="D329" s="97">
        <f t="shared" si="20"/>
        <v>258</v>
      </c>
      <c r="E329" s="97">
        <f t="shared" si="21"/>
        <v>0</v>
      </c>
      <c r="F329" s="97">
        <f t="shared" si="17"/>
        <v>-1444800</v>
      </c>
      <c r="G329" s="97"/>
    </row>
    <row r="330" spans="1:9">
      <c r="A330" s="97" t="s">
        <v>5162</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5172</v>
      </c>
      <c r="B333" s="111">
        <v>-78508</v>
      </c>
      <c r="C333" s="97">
        <v>2</v>
      </c>
      <c r="D333" s="97">
        <f t="shared" si="20"/>
        <v>253</v>
      </c>
      <c r="E333" s="97">
        <f t="shared" si="21"/>
        <v>0</v>
      </c>
      <c r="F333" s="97">
        <f>B333*(D333-E333)</f>
        <v>-19862524</v>
      </c>
      <c r="G333" s="97"/>
    </row>
    <row r="334" spans="1:9">
      <c r="A334" s="97" t="s">
        <v>5173</v>
      </c>
      <c r="B334" s="111">
        <v>-2000</v>
      </c>
      <c r="C334" s="97">
        <v>4</v>
      </c>
      <c r="D334" s="97">
        <f t="shared" ref="D334:D352" si="22">D335+C334</f>
        <v>251</v>
      </c>
      <c r="E334" s="97">
        <f t="shared" ref="E334:E352" si="23">IF(B335&gt;0,1,0)</f>
        <v>1</v>
      </c>
      <c r="F334" s="97">
        <f t="shared" ref="F334:F352" si="24">B334*(D334-E334)</f>
        <v>-500000</v>
      </c>
      <c r="G334" s="97"/>
    </row>
    <row r="335" spans="1:9">
      <c r="A335" s="97" t="s">
        <v>5176</v>
      </c>
      <c r="B335" s="111">
        <v>2200472</v>
      </c>
      <c r="C335" s="97">
        <v>1</v>
      </c>
      <c r="D335" s="97">
        <f t="shared" si="22"/>
        <v>247</v>
      </c>
      <c r="E335" s="97">
        <f t="shared" si="23"/>
        <v>0</v>
      </c>
      <c r="F335" s="97">
        <f t="shared" si="24"/>
        <v>543516584</v>
      </c>
      <c r="G335" s="97"/>
      <c r="H335" t="s">
        <v>25</v>
      </c>
    </row>
    <row r="336" spans="1:9">
      <c r="A336" s="97" t="s">
        <v>5182</v>
      </c>
      <c r="B336" s="111">
        <v>-28000</v>
      </c>
      <c r="C336" s="97">
        <v>2</v>
      </c>
      <c r="D336" s="97">
        <f t="shared" si="22"/>
        <v>246</v>
      </c>
      <c r="E336" s="97">
        <f t="shared" si="23"/>
        <v>1</v>
      </c>
      <c r="F336" s="97">
        <f t="shared" si="24"/>
        <v>-6860000</v>
      </c>
      <c r="G336" s="97"/>
    </row>
    <row r="337" spans="1:13">
      <c r="A337" s="97" t="s">
        <v>5181</v>
      </c>
      <c r="B337" s="111">
        <v>2500000</v>
      </c>
      <c r="C337" s="97">
        <v>0</v>
      </c>
      <c r="D337" s="97">
        <f t="shared" si="22"/>
        <v>244</v>
      </c>
      <c r="E337" s="97">
        <f t="shared" si="23"/>
        <v>0</v>
      </c>
      <c r="F337" s="97">
        <f t="shared" si="24"/>
        <v>610000000</v>
      </c>
      <c r="G337" s="97"/>
    </row>
    <row r="338" spans="1:13">
      <c r="A338" s="97" t="s">
        <v>5181</v>
      </c>
      <c r="B338" s="111">
        <v>-407500</v>
      </c>
      <c r="C338" s="97">
        <v>2</v>
      </c>
      <c r="D338" s="97">
        <f t="shared" si="22"/>
        <v>244</v>
      </c>
      <c r="E338" s="97">
        <f t="shared" si="23"/>
        <v>0</v>
      </c>
      <c r="F338" s="97">
        <f t="shared" si="24"/>
        <v>-99430000</v>
      </c>
      <c r="G338" s="97"/>
    </row>
    <row r="339" spans="1:13">
      <c r="A339" s="97" t="s">
        <v>5183</v>
      </c>
      <c r="B339" s="111">
        <v>-3600</v>
      </c>
      <c r="C339" s="97">
        <v>1</v>
      </c>
      <c r="D339" s="97">
        <f t="shared" si="22"/>
        <v>242</v>
      </c>
      <c r="E339" s="97">
        <f t="shared" si="23"/>
        <v>0</v>
      </c>
      <c r="F339" s="97">
        <f t="shared" si="24"/>
        <v>-871200</v>
      </c>
      <c r="G339" s="97"/>
    </row>
    <row r="340" spans="1:13">
      <c r="A340" s="97" t="s">
        <v>5187</v>
      </c>
      <c r="B340" s="111">
        <v>-170094</v>
      </c>
      <c r="C340" s="97">
        <v>1</v>
      </c>
      <c r="D340" s="97">
        <f t="shared" si="22"/>
        <v>241</v>
      </c>
      <c r="E340" s="97">
        <f t="shared" si="23"/>
        <v>0</v>
      </c>
      <c r="F340" s="97">
        <f t="shared" si="24"/>
        <v>-40992654</v>
      </c>
      <c r="G340" s="97"/>
      <c r="J340" t="s">
        <v>25</v>
      </c>
    </row>
    <row r="341" spans="1:13">
      <c r="A341" s="97" t="s">
        <v>5184</v>
      </c>
      <c r="B341" s="111">
        <v>-51730</v>
      </c>
      <c r="C341" s="97">
        <v>1</v>
      </c>
      <c r="D341" s="97">
        <f t="shared" si="22"/>
        <v>240</v>
      </c>
      <c r="E341" s="97">
        <f t="shared" si="23"/>
        <v>0</v>
      </c>
      <c r="F341" s="97">
        <f t="shared" si="24"/>
        <v>-12415200</v>
      </c>
      <c r="G341" s="97"/>
    </row>
    <row r="342" spans="1:13">
      <c r="A342" s="97" t="s">
        <v>5188</v>
      </c>
      <c r="B342" s="111">
        <v>-200000</v>
      </c>
      <c r="C342" s="97">
        <v>2</v>
      </c>
      <c r="D342" s="97">
        <f t="shared" si="22"/>
        <v>239</v>
      </c>
      <c r="E342" s="97">
        <f t="shared" si="23"/>
        <v>0</v>
      </c>
      <c r="F342" s="97">
        <f t="shared" si="24"/>
        <v>-47800000</v>
      </c>
      <c r="G342" s="97"/>
    </row>
    <row r="343" spans="1:13">
      <c r="A343" s="97" t="s">
        <v>5153</v>
      </c>
      <c r="B343" s="111">
        <v>-3000000</v>
      </c>
      <c r="C343" s="97">
        <v>0</v>
      </c>
      <c r="D343" s="97">
        <f t="shared" si="22"/>
        <v>237</v>
      </c>
      <c r="E343" s="97">
        <f t="shared" si="23"/>
        <v>0</v>
      </c>
      <c r="F343" s="97">
        <f t="shared" si="24"/>
        <v>-711000000</v>
      </c>
      <c r="G343" s="97"/>
    </row>
    <row r="344" spans="1:13">
      <c r="A344" s="97" t="s">
        <v>5153</v>
      </c>
      <c r="B344" s="111">
        <v>-39726</v>
      </c>
      <c r="C344" s="97">
        <v>1</v>
      </c>
      <c r="D344" s="97">
        <f t="shared" si="22"/>
        <v>237</v>
      </c>
      <c r="E344" s="97">
        <f t="shared" si="23"/>
        <v>0</v>
      </c>
      <c r="F344" s="97">
        <f t="shared" si="24"/>
        <v>-9415062</v>
      </c>
      <c r="G344" s="97"/>
      <c r="M344" t="s">
        <v>25</v>
      </c>
    </row>
    <row r="345" spans="1:13">
      <c r="A345" s="97" t="s">
        <v>5190</v>
      </c>
      <c r="B345" s="111">
        <v>-566500</v>
      </c>
      <c r="C345" s="97">
        <v>1</v>
      </c>
      <c r="D345" s="97">
        <f t="shared" si="22"/>
        <v>236</v>
      </c>
      <c r="E345" s="97">
        <f t="shared" si="23"/>
        <v>0</v>
      </c>
      <c r="F345" s="97">
        <f t="shared" si="24"/>
        <v>-133694000</v>
      </c>
      <c r="G345" s="97"/>
      <c r="K345" t="s">
        <v>25</v>
      </c>
    </row>
    <row r="346" spans="1:13">
      <c r="A346" s="97" t="s">
        <v>5191</v>
      </c>
      <c r="B346" s="111">
        <v>-300000</v>
      </c>
      <c r="C346" s="97">
        <v>22</v>
      </c>
      <c r="D346" s="97">
        <f t="shared" si="22"/>
        <v>235</v>
      </c>
      <c r="E346" s="97">
        <f t="shared" si="23"/>
        <v>1</v>
      </c>
      <c r="F346" s="97">
        <f t="shared" si="24"/>
        <v>-70200000</v>
      </c>
      <c r="G346" s="97"/>
      <c r="J346" t="s">
        <v>25</v>
      </c>
    </row>
    <row r="347" spans="1:13">
      <c r="A347" s="97" t="s">
        <v>5211</v>
      </c>
      <c r="B347" s="111">
        <v>700000</v>
      </c>
      <c r="C347" s="97">
        <v>1</v>
      </c>
      <c r="D347" s="97">
        <f t="shared" si="22"/>
        <v>213</v>
      </c>
      <c r="E347" s="97">
        <f t="shared" si="23"/>
        <v>0</v>
      </c>
      <c r="F347" s="97">
        <f t="shared" si="24"/>
        <v>149100000</v>
      </c>
      <c r="G347" s="97"/>
    </row>
    <row r="348" spans="1:13">
      <c r="A348" s="97" t="s">
        <v>5214</v>
      </c>
      <c r="B348" s="111">
        <v>-101000</v>
      </c>
      <c r="C348" s="97">
        <v>1</v>
      </c>
      <c r="D348" s="97">
        <f t="shared" si="22"/>
        <v>212</v>
      </c>
      <c r="E348" s="97">
        <f t="shared" si="23"/>
        <v>0</v>
      </c>
      <c r="F348" s="97">
        <f t="shared" si="24"/>
        <v>-21412000</v>
      </c>
      <c r="G348" s="97"/>
    </row>
    <row r="349" spans="1:13">
      <c r="A349" s="97" t="s">
        <v>5214</v>
      </c>
      <c r="B349" s="111">
        <v>-57245</v>
      </c>
      <c r="C349" s="97">
        <v>1</v>
      </c>
      <c r="D349" s="97">
        <f t="shared" si="22"/>
        <v>211</v>
      </c>
      <c r="E349" s="97">
        <f t="shared" si="23"/>
        <v>0</v>
      </c>
      <c r="F349" s="97">
        <f t="shared" si="24"/>
        <v>-12078695</v>
      </c>
      <c r="G349" s="97"/>
    </row>
    <row r="350" spans="1:13">
      <c r="A350" s="97" t="s">
        <v>5216</v>
      </c>
      <c r="B350" s="111">
        <v>-398700</v>
      </c>
      <c r="C350" s="97">
        <v>2</v>
      </c>
      <c r="D350" s="97">
        <f t="shared" si="22"/>
        <v>210</v>
      </c>
      <c r="E350" s="97">
        <f t="shared" si="23"/>
        <v>0</v>
      </c>
      <c r="F350" s="97">
        <f t="shared" si="24"/>
        <v>-83727000</v>
      </c>
      <c r="G350" s="97"/>
    </row>
    <row r="351" spans="1:13">
      <c r="A351" s="97" t="s">
        <v>5215</v>
      </c>
      <c r="B351" s="111">
        <v>-87010</v>
      </c>
      <c r="C351" s="97">
        <v>5</v>
      </c>
      <c r="D351" s="97">
        <f t="shared" si="22"/>
        <v>208</v>
      </c>
      <c r="E351" s="97">
        <f t="shared" si="23"/>
        <v>0</v>
      </c>
      <c r="F351" s="97">
        <f t="shared" si="24"/>
        <v>-18098080</v>
      </c>
      <c r="G351" s="97"/>
    </row>
    <row r="352" spans="1:13">
      <c r="A352" s="97" t="s">
        <v>5245</v>
      </c>
      <c r="B352" s="111">
        <v>-50000</v>
      </c>
      <c r="C352" s="97">
        <v>28</v>
      </c>
      <c r="D352" s="97">
        <f t="shared" si="22"/>
        <v>203</v>
      </c>
      <c r="E352" s="97">
        <f t="shared" si="23"/>
        <v>1</v>
      </c>
      <c r="F352" s="97">
        <f t="shared" si="24"/>
        <v>-10100000</v>
      </c>
      <c r="G352" s="97"/>
    </row>
    <row r="353" spans="1:12">
      <c r="A353" s="97" t="s">
        <v>5244</v>
      </c>
      <c r="B353" s="111">
        <v>1200000</v>
      </c>
      <c r="C353" s="97">
        <v>0</v>
      </c>
      <c r="D353" s="97">
        <f t="shared" ref="D353:D365" si="25">D354+C353</f>
        <v>175</v>
      </c>
      <c r="E353" s="97">
        <f t="shared" ref="E353:E365" si="26">IF(B354&gt;0,1,0)</f>
        <v>0</v>
      </c>
      <c r="F353" s="97">
        <f t="shared" ref="F353:F365" si="27">B353*(D353-E353)</f>
        <v>210000000</v>
      </c>
      <c r="G353" s="97"/>
    </row>
    <row r="354" spans="1:12">
      <c r="A354" s="97" t="s">
        <v>5244</v>
      </c>
      <c r="B354" s="111">
        <v>-367300</v>
      </c>
      <c r="C354" s="97">
        <v>1</v>
      </c>
      <c r="D354" s="97">
        <f t="shared" si="25"/>
        <v>175</v>
      </c>
      <c r="E354" s="97">
        <f t="shared" si="26"/>
        <v>0</v>
      </c>
      <c r="F354" s="97">
        <f t="shared" si="27"/>
        <v>-64277500</v>
      </c>
      <c r="G354" s="97"/>
    </row>
    <row r="355" spans="1:12">
      <c r="A355" s="97" t="s">
        <v>5246</v>
      </c>
      <c r="B355" s="111">
        <v>-104894</v>
      </c>
      <c r="C355" s="97">
        <v>1</v>
      </c>
      <c r="D355" s="97">
        <f t="shared" si="25"/>
        <v>174</v>
      </c>
      <c r="E355" s="97">
        <f t="shared" si="26"/>
        <v>0</v>
      </c>
      <c r="F355" s="97">
        <f t="shared" si="27"/>
        <v>-18251556</v>
      </c>
      <c r="G355" s="97"/>
    </row>
    <row r="356" spans="1:12">
      <c r="A356" s="97" t="s">
        <v>5247</v>
      </c>
      <c r="B356" s="111">
        <v>-688700</v>
      </c>
      <c r="C356" s="97">
        <v>0</v>
      </c>
      <c r="D356" s="97">
        <f t="shared" si="25"/>
        <v>173</v>
      </c>
      <c r="E356" s="97">
        <f t="shared" si="26"/>
        <v>0</v>
      </c>
      <c r="F356" s="97">
        <f t="shared" si="27"/>
        <v>-119145100</v>
      </c>
      <c r="G356" s="97"/>
    </row>
    <row r="357" spans="1:12">
      <c r="A357" s="97" t="s">
        <v>5247</v>
      </c>
      <c r="B357" s="111">
        <v>-8321</v>
      </c>
      <c r="C357" s="97">
        <v>5</v>
      </c>
      <c r="D357" s="97">
        <f t="shared" si="25"/>
        <v>173</v>
      </c>
      <c r="E357" s="97">
        <f t="shared" si="26"/>
        <v>1</v>
      </c>
      <c r="F357" s="97">
        <f t="shared" si="27"/>
        <v>-1431212</v>
      </c>
      <c r="G357" s="97"/>
      <c r="J357" t="s">
        <v>25</v>
      </c>
    </row>
    <row r="358" spans="1:12">
      <c r="A358" s="97" t="s">
        <v>5257</v>
      </c>
      <c r="B358" s="111">
        <v>1000000</v>
      </c>
      <c r="C358" s="97">
        <v>0</v>
      </c>
      <c r="D358" s="97">
        <f t="shared" si="25"/>
        <v>168</v>
      </c>
      <c r="E358" s="97">
        <f t="shared" si="26"/>
        <v>0</v>
      </c>
      <c r="F358" s="97">
        <f t="shared" si="27"/>
        <v>168000000</v>
      </c>
      <c r="G358" s="97"/>
    </row>
    <row r="359" spans="1:12">
      <c r="A359" s="97" t="s">
        <v>5257</v>
      </c>
      <c r="B359" s="111">
        <v>-127644</v>
      </c>
      <c r="C359" s="97">
        <v>1</v>
      </c>
      <c r="D359" s="97">
        <f t="shared" si="25"/>
        <v>168</v>
      </c>
      <c r="E359" s="97">
        <f t="shared" si="26"/>
        <v>0</v>
      </c>
      <c r="F359" s="97">
        <f t="shared" si="27"/>
        <v>-21444192</v>
      </c>
      <c r="G359" s="97"/>
    </row>
    <row r="360" spans="1:12">
      <c r="A360" s="97" t="s">
        <v>5258</v>
      </c>
      <c r="B360" s="111">
        <v>-418000</v>
      </c>
      <c r="C360" s="97">
        <v>4</v>
      </c>
      <c r="D360" s="97">
        <f t="shared" si="25"/>
        <v>167</v>
      </c>
      <c r="E360" s="97">
        <f t="shared" si="26"/>
        <v>0</v>
      </c>
      <c r="F360" s="97">
        <f t="shared" si="27"/>
        <v>-69806000</v>
      </c>
      <c r="G360" s="97"/>
    </row>
    <row r="361" spans="1:12">
      <c r="A361" s="97" t="s">
        <v>5262</v>
      </c>
      <c r="B361" s="111">
        <v>-183136</v>
      </c>
      <c r="C361" s="97">
        <v>2</v>
      </c>
      <c r="D361" s="97">
        <f t="shared" si="25"/>
        <v>163</v>
      </c>
      <c r="E361" s="97">
        <f t="shared" si="26"/>
        <v>0</v>
      </c>
      <c r="F361" s="97">
        <f t="shared" si="27"/>
        <v>-29851168</v>
      </c>
      <c r="G361" s="97"/>
      <c r="L361" t="s">
        <v>25</v>
      </c>
    </row>
    <row r="362" spans="1:12">
      <c r="A362" s="97" t="s">
        <v>5285</v>
      </c>
      <c r="B362" s="111">
        <v>-18600</v>
      </c>
      <c r="C362" s="97">
        <v>2</v>
      </c>
      <c r="D362" s="97">
        <f t="shared" si="25"/>
        <v>161</v>
      </c>
      <c r="E362" s="97">
        <f t="shared" si="26"/>
        <v>0</v>
      </c>
      <c r="F362" s="97">
        <f t="shared" si="27"/>
        <v>-2994600</v>
      </c>
      <c r="G362" s="97"/>
    </row>
    <row r="363" spans="1:12">
      <c r="A363" s="97" t="s">
        <v>5270</v>
      </c>
      <c r="B363" s="111">
        <v>-90000</v>
      </c>
      <c r="C363" s="97">
        <v>1</v>
      </c>
      <c r="D363" s="97">
        <f t="shared" si="25"/>
        <v>159</v>
      </c>
      <c r="E363" s="97">
        <f t="shared" si="26"/>
        <v>0</v>
      </c>
      <c r="F363" s="97">
        <f t="shared" si="27"/>
        <v>-14310000</v>
      </c>
      <c r="G363" s="97"/>
    </row>
    <row r="364" spans="1:12">
      <c r="A364" s="97" t="s">
        <v>5271</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5274</v>
      </c>
      <c r="B368" s="111">
        <v>3500000</v>
      </c>
      <c r="C368" s="97">
        <v>3</v>
      </c>
      <c r="D368" s="97">
        <f t="shared" si="28"/>
        <v>156</v>
      </c>
      <c r="E368" s="97">
        <f t="shared" si="29"/>
        <v>0</v>
      </c>
      <c r="F368" s="97">
        <f t="shared" si="30"/>
        <v>546000000</v>
      </c>
      <c r="G368" s="97"/>
    </row>
    <row r="369" spans="1:11">
      <c r="A369" s="97" t="s">
        <v>5276</v>
      </c>
      <c r="B369" s="111">
        <v>-93800</v>
      </c>
      <c r="C369" s="97">
        <v>1</v>
      </c>
      <c r="D369" s="97">
        <f t="shared" si="28"/>
        <v>153</v>
      </c>
      <c r="E369" s="97">
        <f t="shared" si="29"/>
        <v>0</v>
      </c>
      <c r="F369" s="97">
        <f t="shared" si="30"/>
        <v>-14351400</v>
      </c>
      <c r="G369" s="97"/>
    </row>
    <row r="370" spans="1:11">
      <c r="A370" s="97" t="s">
        <v>5278</v>
      </c>
      <c r="B370" s="111">
        <v>-815500</v>
      </c>
      <c r="C370" s="97">
        <v>1</v>
      </c>
      <c r="D370" s="97">
        <f t="shared" si="28"/>
        <v>152</v>
      </c>
      <c r="E370" s="97">
        <f t="shared" si="29"/>
        <v>0</v>
      </c>
      <c r="F370" s="97">
        <f t="shared" si="30"/>
        <v>-123956000</v>
      </c>
      <c r="G370" s="97"/>
    </row>
    <row r="371" spans="1:11">
      <c r="A371" s="97" t="s">
        <v>5281</v>
      </c>
      <c r="B371" s="111">
        <v>-2096840</v>
      </c>
      <c r="C371" s="97">
        <v>0</v>
      </c>
      <c r="D371" s="97">
        <f t="shared" si="28"/>
        <v>151</v>
      </c>
      <c r="E371" s="97">
        <f t="shared" si="29"/>
        <v>1</v>
      </c>
      <c r="F371" s="97">
        <f t="shared" si="30"/>
        <v>-314526000</v>
      </c>
      <c r="G371" s="97"/>
    </row>
    <row r="372" spans="1:11">
      <c r="A372" s="97" t="s">
        <v>5281</v>
      </c>
      <c r="B372" s="111">
        <v>533</v>
      </c>
      <c r="C372" s="97">
        <v>1</v>
      </c>
      <c r="D372" s="97">
        <f t="shared" si="28"/>
        <v>151</v>
      </c>
      <c r="E372" s="97">
        <f t="shared" si="29"/>
        <v>1</v>
      </c>
      <c r="F372" s="97">
        <f t="shared" si="30"/>
        <v>79950</v>
      </c>
      <c r="G372" s="97"/>
      <c r="J372" t="s">
        <v>25</v>
      </c>
    </row>
    <row r="373" spans="1:11">
      <c r="A373" s="97" t="s">
        <v>5283</v>
      </c>
      <c r="B373" s="111">
        <v>4100000</v>
      </c>
      <c r="C373" s="97">
        <v>1</v>
      </c>
      <c r="D373" s="97">
        <f t="shared" si="28"/>
        <v>150</v>
      </c>
      <c r="E373" s="97">
        <f t="shared" si="29"/>
        <v>0</v>
      </c>
      <c r="F373" s="97">
        <f t="shared" si="30"/>
        <v>615000000</v>
      </c>
      <c r="G373" s="97"/>
    </row>
    <row r="374" spans="1:11">
      <c r="A374" s="97" t="s">
        <v>5286</v>
      </c>
      <c r="B374" s="111">
        <v>-3642549</v>
      </c>
      <c r="C374" s="97">
        <v>3</v>
      </c>
      <c r="D374" s="97">
        <f t="shared" si="28"/>
        <v>149</v>
      </c>
      <c r="E374" s="97">
        <f t="shared" si="29"/>
        <v>0</v>
      </c>
      <c r="F374" s="97">
        <f t="shared" si="30"/>
        <v>-542739801</v>
      </c>
      <c r="G374" s="97"/>
    </row>
    <row r="375" spans="1:11">
      <c r="A375" s="97" t="s">
        <v>5295</v>
      </c>
      <c r="B375" s="111">
        <v>-317091</v>
      </c>
      <c r="C375" s="97">
        <v>1</v>
      </c>
      <c r="D375" s="97">
        <f t="shared" si="28"/>
        <v>146</v>
      </c>
      <c r="E375" s="97">
        <f t="shared" si="29"/>
        <v>0</v>
      </c>
      <c r="F375" s="97">
        <f t="shared" si="30"/>
        <v>-46295286</v>
      </c>
      <c r="G375" s="97"/>
    </row>
    <row r="376" spans="1:11">
      <c r="A376" s="97" t="s">
        <v>5288</v>
      </c>
      <c r="B376" s="111">
        <v>-1600000</v>
      </c>
      <c r="C376" s="97">
        <v>1</v>
      </c>
      <c r="D376" s="97">
        <f t="shared" si="28"/>
        <v>145</v>
      </c>
      <c r="E376" s="97">
        <f t="shared" si="29"/>
        <v>0</v>
      </c>
      <c r="F376" s="97">
        <f t="shared" si="30"/>
        <v>-232000000</v>
      </c>
      <c r="G376" s="97"/>
    </row>
    <row r="377" spans="1:11">
      <c r="A377" s="97" t="s">
        <v>5290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5365</v>
      </c>
      <c r="B379" s="111">
        <v>10000000</v>
      </c>
      <c r="C379" s="97">
        <v>0</v>
      </c>
      <c r="D379" s="97">
        <f t="shared" si="31"/>
        <v>121</v>
      </c>
      <c r="E379" s="97">
        <f t="shared" si="32"/>
        <v>0</v>
      </c>
      <c r="F379" s="97">
        <f t="shared" si="33"/>
        <v>1210000000</v>
      </c>
      <c r="G379" s="97"/>
    </row>
    <row r="380" spans="1:11">
      <c r="A380" s="97" t="s">
        <v>5365</v>
      </c>
      <c r="B380" s="111">
        <v>-3000000</v>
      </c>
      <c r="C380" s="97">
        <v>0</v>
      </c>
      <c r="D380" s="97">
        <f t="shared" si="31"/>
        <v>121</v>
      </c>
      <c r="E380" s="97">
        <f t="shared" si="32"/>
        <v>0</v>
      </c>
      <c r="F380" s="97">
        <f t="shared" si="33"/>
        <v>-363000000</v>
      </c>
      <c r="G380" s="97"/>
    </row>
    <row r="381" spans="1:11">
      <c r="A381" s="97" t="s">
        <v>5365</v>
      </c>
      <c r="B381" s="111">
        <v>-3971300</v>
      </c>
      <c r="C381" s="97">
        <v>7</v>
      </c>
      <c r="D381" s="97">
        <f t="shared" si="31"/>
        <v>121</v>
      </c>
      <c r="E381" s="97">
        <f t="shared" si="32"/>
        <v>0</v>
      </c>
      <c r="F381" s="97">
        <f t="shared" si="33"/>
        <v>-480527300</v>
      </c>
      <c r="G381" s="97"/>
    </row>
    <row r="382" spans="1:11">
      <c r="A382" s="97" t="s">
        <v>5384</v>
      </c>
      <c r="B382" s="111">
        <v>-2472422</v>
      </c>
      <c r="C382" s="97">
        <v>2</v>
      </c>
      <c r="D382" s="97">
        <f t="shared" si="31"/>
        <v>114</v>
      </c>
      <c r="E382" s="97">
        <f t="shared" si="32"/>
        <v>0</v>
      </c>
      <c r="F382" s="97">
        <f t="shared" si="33"/>
        <v>-281856108</v>
      </c>
      <c r="G382" s="97"/>
    </row>
    <row r="383" spans="1:11">
      <c r="A383" s="97" t="s">
        <v>5408</v>
      </c>
      <c r="B383" s="111">
        <v>-345000</v>
      </c>
      <c r="C383" s="97">
        <v>1</v>
      </c>
      <c r="D383" s="97">
        <f t="shared" si="31"/>
        <v>112</v>
      </c>
      <c r="E383" s="97">
        <f t="shared" si="32"/>
        <v>0</v>
      </c>
      <c r="F383" s="97">
        <f t="shared" si="33"/>
        <v>-38640000</v>
      </c>
      <c r="G383" s="97"/>
    </row>
    <row r="384" spans="1:11">
      <c r="A384" s="97" t="s">
        <v>5409</v>
      </c>
      <c r="B384" s="111">
        <v>-200000</v>
      </c>
      <c r="C384" s="97">
        <v>10</v>
      </c>
      <c r="D384" s="97">
        <f t="shared" si="31"/>
        <v>111</v>
      </c>
      <c r="E384" s="97">
        <f t="shared" si="32"/>
        <v>1</v>
      </c>
      <c r="F384" s="97">
        <f t="shared" si="33"/>
        <v>-22000000</v>
      </c>
      <c r="G384" s="97"/>
    </row>
    <row r="385" spans="1:10">
      <c r="A385" s="97" t="s">
        <v>5404</v>
      </c>
      <c r="B385" s="111">
        <v>800000</v>
      </c>
      <c r="C385" s="97">
        <v>0</v>
      </c>
      <c r="D385" s="97">
        <f t="shared" si="31"/>
        <v>101</v>
      </c>
      <c r="E385" s="97">
        <f t="shared" si="32"/>
        <v>0</v>
      </c>
      <c r="F385" s="97">
        <f t="shared" si="33"/>
        <v>80800000</v>
      </c>
      <c r="G385" s="97"/>
    </row>
    <row r="386" spans="1:10">
      <c r="A386" s="97" t="s">
        <v>5404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5410</v>
      </c>
      <c r="B389" s="111">
        <v>8000000</v>
      </c>
      <c r="C389" s="97">
        <v>1</v>
      </c>
      <c r="D389" s="97">
        <f t="shared" si="31"/>
        <v>99</v>
      </c>
      <c r="E389" s="97">
        <f t="shared" si="32"/>
        <v>0</v>
      </c>
      <c r="F389" s="97">
        <f t="shared" si="33"/>
        <v>792000000</v>
      </c>
      <c r="G389" s="97"/>
    </row>
    <row r="390" spans="1:10">
      <c r="A390" s="97" t="s">
        <v>5411</v>
      </c>
      <c r="B390" s="111">
        <v>-10000</v>
      </c>
      <c r="C390" s="97">
        <v>1</v>
      </c>
      <c r="D390" s="97">
        <f t="shared" si="31"/>
        <v>98</v>
      </c>
      <c r="E390" s="97">
        <f t="shared" si="32"/>
        <v>0</v>
      </c>
      <c r="F390" s="97">
        <f t="shared" si="33"/>
        <v>-980000</v>
      </c>
      <c r="G390" s="97"/>
    </row>
    <row r="391" spans="1:10">
      <c r="A391" s="97" t="s">
        <v>5412</v>
      </c>
      <c r="B391" s="111">
        <v>-88000</v>
      </c>
      <c r="C391" s="97">
        <v>1</v>
      </c>
      <c r="D391" s="97">
        <f t="shared" si="31"/>
        <v>97</v>
      </c>
      <c r="E391" s="97">
        <f t="shared" si="32"/>
        <v>0</v>
      </c>
      <c r="F391" s="97">
        <f t="shared" si="33"/>
        <v>-8536000</v>
      </c>
      <c r="G391" s="97"/>
    </row>
    <row r="392" spans="1:10">
      <c r="A392" s="97" t="s">
        <v>5413</v>
      </c>
      <c r="B392" s="111">
        <v>-297675</v>
      </c>
      <c r="C392" s="97">
        <v>3</v>
      </c>
      <c r="D392" s="97">
        <f t="shared" si="31"/>
        <v>96</v>
      </c>
      <c r="E392" s="97">
        <f t="shared" si="32"/>
        <v>0</v>
      </c>
      <c r="F392" s="97">
        <f t="shared" si="33"/>
        <v>-28576800</v>
      </c>
      <c r="G392" s="97"/>
    </row>
    <row r="393" spans="1:10">
      <c r="A393" s="97" t="s">
        <v>5405</v>
      </c>
      <c r="B393" s="111">
        <v>-10114121</v>
      </c>
      <c r="C393" s="97">
        <v>1</v>
      </c>
      <c r="D393" s="97">
        <f t="shared" si="31"/>
        <v>93</v>
      </c>
      <c r="E393" s="97">
        <f t="shared" si="32"/>
        <v>0</v>
      </c>
      <c r="F393" s="97">
        <f t="shared" si="33"/>
        <v>-940613253</v>
      </c>
      <c r="G393" s="97"/>
    </row>
    <row r="394" spans="1:10">
      <c r="A394" s="97" t="s">
        <v>5406</v>
      </c>
      <c r="B394" s="111">
        <v>-9000000</v>
      </c>
      <c r="C394" s="97">
        <v>1</v>
      </c>
      <c r="D394" s="97">
        <f t="shared" si="31"/>
        <v>92</v>
      </c>
      <c r="E394" s="97">
        <f t="shared" si="32"/>
        <v>0</v>
      </c>
      <c r="F394" s="97">
        <f t="shared" si="33"/>
        <v>-828000000</v>
      </c>
      <c r="G394" s="97"/>
      <c r="J394" s="112">
        <f>B422-743653+21500</f>
        <v>3919446</v>
      </c>
    </row>
    <row r="395" spans="1:10">
      <c r="A395" s="97" t="s">
        <v>5414</v>
      </c>
      <c r="B395" s="111">
        <v>-83930</v>
      </c>
      <c r="C395" s="97">
        <v>1</v>
      </c>
      <c r="D395" s="97">
        <f t="shared" si="31"/>
        <v>91</v>
      </c>
      <c r="E395" s="97">
        <f t="shared" si="32"/>
        <v>0</v>
      </c>
      <c r="F395" s="97">
        <f t="shared" si="33"/>
        <v>-7637630</v>
      </c>
      <c r="G395" s="97"/>
    </row>
    <row r="396" spans="1:10">
      <c r="A396" s="97" t="s">
        <v>5415</v>
      </c>
      <c r="B396" s="111">
        <v>-19520</v>
      </c>
      <c r="C396" s="97">
        <v>0</v>
      </c>
      <c r="D396" s="97">
        <f t="shared" si="31"/>
        <v>90</v>
      </c>
      <c r="E396" s="97">
        <f t="shared" si="32"/>
        <v>0</v>
      </c>
      <c r="F396" s="97">
        <f t="shared" si="33"/>
        <v>-1756800</v>
      </c>
      <c r="G396" s="97"/>
    </row>
    <row r="397" spans="1:10">
      <c r="A397" s="97" t="s">
        <v>5415</v>
      </c>
      <c r="B397" s="111">
        <v>-676034</v>
      </c>
      <c r="C397" s="97">
        <v>27</v>
      </c>
      <c r="D397" s="97">
        <f t="shared" si="31"/>
        <v>90</v>
      </c>
      <c r="E397" s="97">
        <f t="shared" si="32"/>
        <v>1</v>
      </c>
      <c r="F397" s="97">
        <f t="shared" si="33"/>
        <v>-60167026</v>
      </c>
      <c r="G397" s="97"/>
    </row>
    <row r="398" spans="1:10">
      <c r="A398" s="97" t="s">
        <v>5444</v>
      </c>
      <c r="B398" s="111">
        <v>2200000</v>
      </c>
      <c r="C398" s="97">
        <v>2</v>
      </c>
      <c r="D398" s="97">
        <f t="shared" si="31"/>
        <v>63</v>
      </c>
      <c r="E398" s="97">
        <f t="shared" si="32"/>
        <v>0</v>
      </c>
      <c r="F398" s="97">
        <f t="shared" si="33"/>
        <v>138600000</v>
      </c>
      <c r="G398" s="97"/>
    </row>
    <row r="399" spans="1:10">
      <c r="A399" s="97" t="s">
        <v>5449</v>
      </c>
      <c r="B399" s="111">
        <v>-2000000</v>
      </c>
      <c r="C399" s="97">
        <v>1</v>
      </c>
      <c r="D399" s="97">
        <f t="shared" si="31"/>
        <v>61</v>
      </c>
      <c r="E399" s="97">
        <f t="shared" si="32"/>
        <v>0</v>
      </c>
      <c r="F399" s="97">
        <f t="shared" si="33"/>
        <v>-122000000</v>
      </c>
      <c r="G399" s="97"/>
    </row>
    <row r="400" spans="1:10">
      <c r="A400" s="97" t="s">
        <v>5450</v>
      </c>
      <c r="B400" s="111">
        <v>-28400</v>
      </c>
      <c r="C400" s="97">
        <v>1</v>
      </c>
      <c r="D400" s="97">
        <f t="shared" si="31"/>
        <v>60</v>
      </c>
      <c r="E400" s="97">
        <f t="shared" si="32"/>
        <v>0</v>
      </c>
      <c r="F400" s="97">
        <f t="shared" si="33"/>
        <v>-1704000</v>
      </c>
      <c r="G400" s="97"/>
    </row>
    <row r="401" spans="1:15">
      <c r="A401" s="97" t="s">
        <v>5452</v>
      </c>
      <c r="B401" s="111">
        <v>-126475</v>
      </c>
      <c r="C401" s="97">
        <v>1</v>
      </c>
      <c r="D401" s="97">
        <f t="shared" si="31"/>
        <v>59</v>
      </c>
      <c r="E401" s="97">
        <f t="shared" si="32"/>
        <v>0</v>
      </c>
      <c r="F401" s="97">
        <f t="shared" si="33"/>
        <v>-7462025</v>
      </c>
      <c r="G401" s="97"/>
    </row>
    <row r="402" spans="1:15">
      <c r="A402" s="97" t="s">
        <v>5451</v>
      </c>
      <c r="B402" s="111">
        <v>-32807</v>
      </c>
      <c r="C402" s="97">
        <v>4</v>
      </c>
      <c r="D402" s="97">
        <f t="shared" si="31"/>
        <v>58</v>
      </c>
      <c r="E402" s="97">
        <f t="shared" si="32"/>
        <v>0</v>
      </c>
      <c r="F402" s="97">
        <f t="shared" si="33"/>
        <v>-1902806</v>
      </c>
      <c r="G402" s="97"/>
    </row>
    <row r="403" spans="1:15">
      <c r="A403" s="97" t="s">
        <v>5455</v>
      </c>
      <c r="B403" s="111">
        <v>-11700</v>
      </c>
      <c r="C403" s="97">
        <v>7</v>
      </c>
      <c r="D403" s="97">
        <f t="shared" si="31"/>
        <v>54</v>
      </c>
      <c r="E403" s="97">
        <f t="shared" si="32"/>
        <v>1</v>
      </c>
      <c r="F403" s="97">
        <f t="shared" si="33"/>
        <v>-620100</v>
      </c>
      <c r="G403" s="97"/>
    </row>
    <row r="404" spans="1:15">
      <c r="A404" s="97" t="s">
        <v>5465</v>
      </c>
      <c r="B404" s="111">
        <v>5032773</v>
      </c>
      <c r="C404" s="97">
        <v>0</v>
      </c>
      <c r="D404" s="97">
        <f t="shared" si="31"/>
        <v>47</v>
      </c>
      <c r="E404" s="97">
        <f t="shared" si="32"/>
        <v>0</v>
      </c>
      <c r="F404" s="97">
        <f t="shared" si="33"/>
        <v>236540331</v>
      </c>
      <c r="G404" s="97"/>
    </row>
    <row r="405" spans="1:15">
      <c r="A405" s="97" t="s">
        <v>5465</v>
      </c>
      <c r="B405" s="111">
        <v>-5000000</v>
      </c>
      <c r="C405" s="97">
        <v>13</v>
      </c>
      <c r="D405" s="97">
        <f t="shared" si="31"/>
        <v>47</v>
      </c>
      <c r="E405" s="97">
        <f t="shared" si="32"/>
        <v>1</v>
      </c>
      <c r="F405" s="97">
        <f t="shared" si="33"/>
        <v>-230000000</v>
      </c>
      <c r="G405" s="97"/>
    </row>
    <row r="406" spans="1:15">
      <c r="A406" s="97" t="s">
        <v>5502</v>
      </c>
      <c r="B406" s="111">
        <v>1200000</v>
      </c>
      <c r="C406" s="97">
        <v>1</v>
      </c>
      <c r="D406" s="97">
        <f t="shared" si="31"/>
        <v>34</v>
      </c>
      <c r="E406" s="97">
        <f t="shared" si="32"/>
        <v>0</v>
      </c>
      <c r="F406" s="97">
        <f t="shared" si="33"/>
        <v>40800000</v>
      </c>
      <c r="G406" s="97"/>
    </row>
    <row r="407" spans="1:15">
      <c r="A407" s="97" t="s">
        <v>5483</v>
      </c>
      <c r="B407" s="111">
        <v>-1200000</v>
      </c>
      <c r="C407" s="97">
        <v>0</v>
      </c>
      <c r="D407" s="97">
        <f t="shared" si="31"/>
        <v>33</v>
      </c>
      <c r="E407" s="97">
        <f t="shared" si="32"/>
        <v>0</v>
      </c>
      <c r="F407" s="97">
        <f t="shared" si="33"/>
        <v>-39600000</v>
      </c>
      <c r="G407" s="97"/>
      <c r="O407" t="s">
        <v>25</v>
      </c>
    </row>
    <row r="408" spans="1:15">
      <c r="A408" s="97" t="s">
        <v>5483</v>
      </c>
      <c r="B408" s="111">
        <v>-784</v>
      </c>
      <c r="C408" s="97">
        <v>1</v>
      </c>
      <c r="D408" s="97">
        <f t="shared" si="31"/>
        <v>33</v>
      </c>
      <c r="E408" s="97">
        <f t="shared" si="32"/>
        <v>0</v>
      </c>
      <c r="F408" s="97">
        <f t="shared" si="33"/>
        <v>-25872</v>
      </c>
      <c r="G408" s="97" t="s">
        <v>5503</v>
      </c>
    </row>
    <row r="409" spans="1:15">
      <c r="A409" s="97" t="s">
        <v>5545</v>
      </c>
      <c r="B409" s="111">
        <v>-37927</v>
      </c>
      <c r="C409" s="97">
        <v>30</v>
      </c>
      <c r="D409" s="97">
        <f t="shared" si="31"/>
        <v>32</v>
      </c>
      <c r="E409" s="97">
        <f t="shared" si="32"/>
        <v>1</v>
      </c>
      <c r="F409" s="97">
        <f t="shared" si="33"/>
        <v>-1175737</v>
      </c>
      <c r="G409" s="97"/>
    </row>
    <row r="410" spans="1:15">
      <c r="A410" s="97" t="s">
        <v>5547</v>
      </c>
      <c r="B410" s="111">
        <v>5000000</v>
      </c>
      <c r="C410" s="97">
        <v>0</v>
      </c>
      <c r="D410" s="97">
        <f t="shared" si="31"/>
        <v>2</v>
      </c>
      <c r="E410" s="97">
        <f t="shared" si="32"/>
        <v>0</v>
      </c>
      <c r="F410" s="97">
        <f t="shared" si="33"/>
        <v>10000000</v>
      </c>
      <c r="G410" s="97"/>
    </row>
    <row r="411" spans="1:15">
      <c r="A411" s="97" t="s">
        <v>5547</v>
      </c>
      <c r="B411" s="111">
        <v>-1620700</v>
      </c>
      <c r="C411" s="97">
        <v>1</v>
      </c>
      <c r="D411" s="97">
        <f t="shared" si="31"/>
        <v>2</v>
      </c>
      <c r="E411" s="97">
        <f t="shared" si="32"/>
        <v>1</v>
      </c>
      <c r="F411" s="97">
        <f t="shared" si="33"/>
        <v>-1620700</v>
      </c>
      <c r="G411" s="97"/>
    </row>
    <row r="412" spans="1:15">
      <c r="A412" s="97" t="s">
        <v>5549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5874</v>
      </c>
      <c r="O19" t="s">
        <v>5873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5746</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9"/>
  <sheetViews>
    <sheetView topLeftCell="J27" zoomScale="80" zoomScaleNormal="80" workbookViewId="0">
      <selection activeCell="L41" sqref="L4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862</v>
      </c>
      <c r="T20" s="166" t="s">
        <v>4284</v>
      </c>
      <c r="U20" s="166">
        <v>192.1</v>
      </c>
      <c r="V20" s="166">
        <f t="shared" ref="V20:V64" si="6">U20*(1+$R$91+$Q$15*S20/36500)</f>
        <v>322.04801863013699</v>
      </c>
      <c r="W20" s="32">
        <f t="shared" ref="W20:W26" si="7">V20*(1+$W$19/100)</f>
        <v>328.48897900273977</v>
      </c>
      <c r="X20" s="32">
        <f t="shared" ref="X20:X26" si="8">V20*(1+$X$19/100)</f>
        <v>334.92993937534249</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5147403833.5200567</v>
      </c>
      <c r="M21" s="166" t="s">
        <v>4276</v>
      </c>
      <c r="N21" s="111">
        <f>O21*P21</f>
        <v>2877422378.5</v>
      </c>
      <c r="O21" s="97">
        <v>2544365</v>
      </c>
      <c r="P21" s="183">
        <f>P45</f>
        <v>1130.9000000000001</v>
      </c>
      <c r="Q21" s="167">
        <v>1353959</v>
      </c>
      <c r="R21" s="166" t="s">
        <v>4392</v>
      </c>
      <c r="S21" s="196">
        <f>S20-59</f>
        <v>803</v>
      </c>
      <c r="T21" s="19" t="s">
        <v>4428</v>
      </c>
      <c r="U21" s="166">
        <v>192.2</v>
      </c>
      <c r="V21" s="166">
        <f t="shared" si="6"/>
        <v>313.51664</v>
      </c>
      <c r="W21" s="32">
        <f t="shared" si="7"/>
        <v>319.7869728</v>
      </c>
      <c r="X21" s="32">
        <f t="shared" si="8"/>
        <v>326.05730560000001</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19500</v>
      </c>
      <c r="Q22" s="167">
        <v>1614398</v>
      </c>
      <c r="R22" s="166" t="s">
        <v>4398</v>
      </c>
      <c r="S22" s="166">
        <f>S21-3</f>
        <v>800</v>
      </c>
      <c r="T22" s="19" t="s">
        <v>5666</v>
      </c>
      <c r="U22" s="166">
        <v>184.6</v>
      </c>
      <c r="V22" s="166">
        <f t="shared" si="6"/>
        <v>300.69468712328774</v>
      </c>
      <c r="W22" s="32">
        <f t="shared" si="7"/>
        <v>306.7085808657535</v>
      </c>
      <c r="X22" s="32">
        <f t="shared" si="8"/>
        <v>312.72247460821927</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13000000</v>
      </c>
      <c r="O23" s="97">
        <v>1000</v>
      </c>
      <c r="P23" s="183">
        <f>P43</f>
        <v>13000</v>
      </c>
      <c r="Q23" s="167">
        <v>133576</v>
      </c>
      <c r="R23" s="166" t="s">
        <v>4466</v>
      </c>
      <c r="S23" s="195">
        <f>S22-22</f>
        <v>778</v>
      </c>
      <c r="T23" s="166" t="s">
        <v>4467</v>
      </c>
      <c r="U23" s="166">
        <v>166.2</v>
      </c>
      <c r="V23" s="166">
        <f t="shared" si="6"/>
        <v>267.91804273972599</v>
      </c>
      <c r="W23" s="32">
        <f t="shared" si="7"/>
        <v>273.2764035945205</v>
      </c>
      <c r="X23" s="32">
        <f t="shared" si="8"/>
        <v>278.63476444931501</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5382303525.0200567</v>
      </c>
      <c r="G24" s="93">
        <f t="shared" si="0"/>
        <v>-5101997179.6381178</v>
      </c>
      <c r="H24" s="11"/>
      <c r="I24" s="94"/>
      <c r="J24" s="94"/>
      <c r="K24" s="166" t="s">
        <v>5846</v>
      </c>
      <c r="L24" s="115">
        <f>-'فروردین 98'!D165</f>
        <v>3724314</v>
      </c>
      <c r="M24" s="166"/>
      <c r="N24" s="111"/>
      <c r="O24" s="67"/>
      <c r="P24" s="97"/>
      <c r="Q24" s="167">
        <v>220803</v>
      </c>
      <c r="R24" s="166" t="s">
        <v>4208</v>
      </c>
      <c r="S24" s="195">
        <f>S23-1</f>
        <v>777</v>
      </c>
      <c r="T24" s="166" t="s">
        <v>4473</v>
      </c>
      <c r="U24" s="166">
        <v>166</v>
      </c>
      <c r="V24" s="166">
        <f t="shared" si="6"/>
        <v>267.46829589041101</v>
      </c>
      <c r="W24" s="32">
        <f t="shared" si="7"/>
        <v>272.81766180821921</v>
      </c>
      <c r="X24" s="32">
        <f t="shared" si="8"/>
        <v>278.16702772602747</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775</v>
      </c>
      <c r="T25" s="166" t="s">
        <v>4480</v>
      </c>
      <c r="U25" s="166">
        <v>160.19999999999999</v>
      </c>
      <c r="V25" s="166">
        <f t="shared" si="6"/>
        <v>257.87723178082189</v>
      </c>
      <c r="W25" s="32">
        <f t="shared" si="7"/>
        <v>263.03477641643832</v>
      </c>
      <c r="X25" s="32">
        <f t="shared" si="8"/>
        <v>268.19232105205475</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19500</v>
      </c>
      <c r="Q26" s="167">
        <v>168846</v>
      </c>
      <c r="R26" s="166" t="s">
        <v>3675</v>
      </c>
      <c r="S26" s="195">
        <f>S25-28</f>
        <v>747</v>
      </c>
      <c r="T26" s="166" t="s">
        <v>4558</v>
      </c>
      <c r="U26" s="166">
        <v>172.2</v>
      </c>
      <c r="V26" s="166">
        <f t="shared" si="6"/>
        <v>273.49511671232881</v>
      </c>
      <c r="W26" s="32">
        <f t="shared" si="7"/>
        <v>278.96501904657538</v>
      </c>
      <c r="X26" s="32">
        <f t="shared" si="8"/>
        <v>284.43492138082195</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13000</v>
      </c>
      <c r="Q27" s="167">
        <v>1563192</v>
      </c>
      <c r="R27" s="210" t="s">
        <v>4657</v>
      </c>
      <c r="S27" s="195">
        <f>S26-33</f>
        <v>714</v>
      </c>
      <c r="T27" s="210" t="s">
        <v>4658</v>
      </c>
      <c r="U27" s="210">
        <v>168.8</v>
      </c>
      <c r="V27" s="210">
        <f t="shared" si="6"/>
        <v>263.82191342465757</v>
      </c>
      <c r="W27" s="32">
        <f t="shared" ref="W27:W30" si="12">V27*(1+$W$19/100)</f>
        <v>269.09835169315073</v>
      </c>
      <c r="X27" s="32">
        <f t="shared" ref="X27:X30" si="13">V27*(1+$X$19/100)</f>
        <v>274.3747899616439</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349884627.40000004</v>
      </c>
      <c r="O28" s="67">
        <v>309386</v>
      </c>
      <c r="P28" s="97">
        <f>P45</f>
        <v>1130.9000000000001</v>
      </c>
      <c r="Q28" s="167">
        <v>1204691</v>
      </c>
      <c r="R28" s="210" t="s">
        <v>4874</v>
      </c>
      <c r="S28" s="195">
        <f>S27-76</f>
        <v>638</v>
      </c>
      <c r="T28" s="210" t="s">
        <v>4875</v>
      </c>
      <c r="U28" s="210">
        <v>218.5</v>
      </c>
      <c r="V28" s="210">
        <f t="shared" si="6"/>
        <v>328.76048767123291</v>
      </c>
      <c r="W28" s="32">
        <f t="shared" si="12"/>
        <v>335.33569742465755</v>
      </c>
      <c r="X28" s="32">
        <f t="shared" si="13"/>
        <v>341.91090717808225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635</v>
      </c>
      <c r="T29" s="210" t="s">
        <v>4881</v>
      </c>
      <c r="U29" s="210">
        <v>197.1</v>
      </c>
      <c r="V29" s="210">
        <f t="shared" si="6"/>
        <v>296.10791999999998</v>
      </c>
      <c r="W29" s="32">
        <f t="shared" si="12"/>
        <v>302.03007839999998</v>
      </c>
      <c r="X29" s="32">
        <f t="shared" si="13"/>
        <v>307.95223679999998</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630</v>
      </c>
      <c r="T30" s="210" t="s">
        <v>5631</v>
      </c>
      <c r="U30" s="210">
        <v>194.4</v>
      </c>
      <c r="V30" s="210">
        <f t="shared" si="6"/>
        <v>291.30600328767127</v>
      </c>
      <c r="W30" s="32">
        <f t="shared" si="12"/>
        <v>297.13212335342473</v>
      </c>
      <c r="X30" s="32">
        <f t="shared" si="13"/>
        <v>302.95824341917813</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-W138</f>
        <v>-5147403833.5200567</v>
      </c>
      <c r="P31" t="s">
        <v>25</v>
      </c>
      <c r="Q31" s="167">
        <v>5368238</v>
      </c>
      <c r="R31" s="210" t="s">
        <v>5638</v>
      </c>
      <c r="S31" s="195">
        <f>S30-465</f>
        <v>165</v>
      </c>
      <c r="T31" s="210" t="s">
        <v>5639</v>
      </c>
      <c r="U31" s="210">
        <v>1843</v>
      </c>
      <c r="V31" s="210">
        <f t="shared" si="6"/>
        <v>2104.2919561643839</v>
      </c>
      <c r="W31" s="32">
        <f t="shared" ref="W31:W34" si="14">V31*(1+$W$19/100)</f>
        <v>2146.3777952876717</v>
      </c>
      <c r="X31" s="32">
        <f t="shared" ref="X31:X34" si="15">V31*(1+$X$19/100)</f>
        <v>2188.4636344109595</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5640</v>
      </c>
      <c r="S32" s="195">
        <f>S31-3</f>
        <v>162</v>
      </c>
      <c r="T32" s="210" t="s">
        <v>5641</v>
      </c>
      <c r="U32" s="210">
        <v>1751</v>
      </c>
      <c r="V32" s="210">
        <f t="shared" si="6"/>
        <v>1995.2189260273974</v>
      </c>
      <c r="W32" s="32">
        <f t="shared" si="14"/>
        <v>2035.1233045479453</v>
      </c>
      <c r="X32" s="32">
        <f t="shared" si="15"/>
        <v>2075.0276830684934</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5642</v>
      </c>
      <c r="S33" s="195">
        <f>S32-1</f>
        <v>161</v>
      </c>
      <c r="T33" s="210" t="s">
        <v>5643</v>
      </c>
      <c r="U33" s="210">
        <v>1730</v>
      </c>
      <c r="V33" s="210">
        <f t="shared" si="6"/>
        <v>1969.9628493150685</v>
      </c>
      <c r="W33" s="32">
        <f t="shared" si="14"/>
        <v>2009.36210630137</v>
      </c>
      <c r="X33" s="32">
        <f t="shared" si="15"/>
        <v>2048.7613632876714</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5649</v>
      </c>
      <c r="S34" s="195">
        <f>S33-8</f>
        <v>153</v>
      </c>
      <c r="T34" s="210" t="s">
        <v>5653</v>
      </c>
      <c r="U34" s="210">
        <v>1737.1</v>
      </c>
      <c r="V34" s="210">
        <f t="shared" si="6"/>
        <v>1967.3871090410958</v>
      </c>
      <c r="W34" s="32">
        <f t="shared" si="14"/>
        <v>2006.7348512219178</v>
      </c>
      <c r="X34" s="32">
        <f t="shared" si="15"/>
        <v>2046.0825934027396</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5652</v>
      </c>
      <c r="S35" s="195">
        <f>S34-1</f>
        <v>152</v>
      </c>
      <c r="T35" s="210" t="s">
        <v>5656</v>
      </c>
      <c r="U35" s="210">
        <v>1730.1</v>
      </c>
      <c r="V35" s="210">
        <f t="shared" si="6"/>
        <v>1958.13192</v>
      </c>
      <c r="W35" s="32">
        <f t="shared" ref="W35:W36" si="16">V35*(1+$W$19/100)</f>
        <v>1997.2945584000001</v>
      </c>
      <c r="X35" s="32">
        <f t="shared" ref="X35:X36" si="17">V35*(1+$X$19/100)</f>
        <v>2036.4571968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5375</v>
      </c>
      <c r="N36" s="111">
        <v>-14000000</v>
      </c>
      <c r="O36" t="s">
        <v>25</v>
      </c>
      <c r="P36" t="s">
        <v>25</v>
      </c>
      <c r="Q36" s="167">
        <v>38191823</v>
      </c>
      <c r="R36" s="210" t="s">
        <v>5654</v>
      </c>
      <c r="S36" s="195">
        <f>S35-1</f>
        <v>151</v>
      </c>
      <c r="T36" s="210" t="s">
        <v>5655</v>
      </c>
      <c r="U36" s="210">
        <v>1646</v>
      </c>
      <c r="V36" s="210">
        <f t="shared" si="6"/>
        <v>1861.6846246575342</v>
      </c>
      <c r="W36" s="32">
        <f t="shared" si="16"/>
        <v>1898.918317150685</v>
      </c>
      <c r="X36" s="32">
        <f t="shared" si="17"/>
        <v>1936.1520096438355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4939</v>
      </c>
      <c r="N37" s="111">
        <v>-47000000</v>
      </c>
      <c r="O37" s="293"/>
      <c r="P37" s="94" t="s">
        <v>25</v>
      </c>
      <c r="Q37" s="167">
        <v>70173463</v>
      </c>
      <c r="R37" s="210" t="s">
        <v>5657</v>
      </c>
      <c r="S37" s="195">
        <f>S36-3</f>
        <v>148</v>
      </c>
      <c r="T37" s="210" t="s">
        <v>5661</v>
      </c>
      <c r="U37" s="210">
        <v>1674.7</v>
      </c>
      <c r="V37" s="210">
        <f t="shared" si="6"/>
        <v>1890.2912427397262</v>
      </c>
      <c r="W37" s="32">
        <f t="shared" ref="W37:W40" si="18">V37*(1+$W$19/100)</f>
        <v>1928.0970675945207</v>
      </c>
      <c r="X37" s="32">
        <f t="shared" ref="X37:X40" si="19">V37*(1+$X$19/100)</f>
        <v>1965.9028924493152</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5659</v>
      </c>
      <c r="S38" s="195">
        <f>S37-2</f>
        <v>146</v>
      </c>
      <c r="T38" s="210" t="s">
        <v>5660</v>
      </c>
      <c r="U38" s="210">
        <v>1663</v>
      </c>
      <c r="V38" s="210">
        <f t="shared" si="6"/>
        <v>1874.5336000000004</v>
      </c>
      <c r="W38" s="32">
        <f t="shared" si="18"/>
        <v>1912.0242720000006</v>
      </c>
      <c r="X38" s="32">
        <f t="shared" si="19"/>
        <v>1949.5149440000005</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5662</v>
      </c>
      <c r="S39" s="195">
        <f>S38-1</f>
        <v>145</v>
      </c>
      <c r="T39" s="210" t="s">
        <v>5667</v>
      </c>
      <c r="U39" s="210">
        <v>1580</v>
      </c>
      <c r="V39" s="210">
        <f t="shared" si="6"/>
        <v>1779.7639452054796</v>
      </c>
      <c r="W39" s="32">
        <f t="shared" si="18"/>
        <v>1815.3592241095891</v>
      </c>
      <c r="X39" s="32">
        <f t="shared" si="19"/>
        <v>1850.9545030136987</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5849</v>
      </c>
      <c r="L40" s="115">
        <v>-81000000</v>
      </c>
      <c r="M40" s="166"/>
      <c r="N40" s="111"/>
      <c r="O40" s="97"/>
      <c r="P40" s="97"/>
      <c r="Q40" s="167">
        <v>563902380</v>
      </c>
      <c r="R40" s="210" t="s">
        <v>5669</v>
      </c>
      <c r="S40" s="195">
        <f>S39-5</f>
        <v>140</v>
      </c>
      <c r="T40" s="210" t="s">
        <v>5671</v>
      </c>
      <c r="U40" s="210">
        <v>1560.1</v>
      </c>
      <c r="V40" s="210">
        <f t="shared" si="6"/>
        <v>1751.3639857534247</v>
      </c>
      <c r="W40" s="32">
        <f t="shared" si="18"/>
        <v>1786.3912654684932</v>
      </c>
      <c r="X40" s="32">
        <f t="shared" si="19"/>
        <v>1821.4185451835617</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5467</v>
      </c>
      <c r="L41" s="115">
        <v>-35425716</v>
      </c>
      <c r="M41" s="21" t="s">
        <v>5838</v>
      </c>
      <c r="N41" s="115">
        <f>O41*P41</f>
        <v>53583172.900000006</v>
      </c>
      <c r="O41" s="67">
        <v>47381</v>
      </c>
      <c r="P41" s="67">
        <f>P45</f>
        <v>1130.9000000000001</v>
      </c>
      <c r="Q41" s="167">
        <v>814638349</v>
      </c>
      <c r="R41" s="210" t="s">
        <v>5677</v>
      </c>
      <c r="S41" s="195">
        <f>S40-8</f>
        <v>132</v>
      </c>
      <c r="T41" s="210" t="s">
        <v>5678</v>
      </c>
      <c r="U41" s="210">
        <v>1667</v>
      </c>
      <c r="V41" s="210">
        <f t="shared" si="6"/>
        <v>1861.1392767123289</v>
      </c>
      <c r="W41" s="32">
        <f t="shared" ref="W41:W42" si="20">V41*(1+$W$19/100)</f>
        <v>1898.3620622465755</v>
      </c>
      <c r="X41" s="32">
        <f t="shared" ref="X41:X42" si="21">V41*(1+$X$19/100)</f>
        <v>1935.584847780822</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5834</v>
      </c>
      <c r="L42" s="115">
        <f>N41</f>
        <v>53583172.900000006</v>
      </c>
      <c r="M42" s="21" t="s">
        <v>5269</v>
      </c>
      <c r="N42" s="115">
        <f t="shared" ref="N42:N48" si="22">O42*P42</f>
        <v>0</v>
      </c>
      <c r="O42" s="67">
        <v>0</v>
      </c>
      <c r="P42" s="67">
        <v>91000</v>
      </c>
      <c r="Q42" s="167">
        <v>2537951</v>
      </c>
      <c r="R42" s="210" t="s">
        <v>5698</v>
      </c>
      <c r="S42" s="195">
        <f>S41-5</f>
        <v>127</v>
      </c>
      <c r="T42" s="210" t="s">
        <v>5699</v>
      </c>
      <c r="U42" s="210">
        <v>1768.2</v>
      </c>
      <c r="V42" s="210">
        <f t="shared" si="6"/>
        <v>1967.342919452055</v>
      </c>
      <c r="W42" s="32">
        <f t="shared" si="20"/>
        <v>2006.6897778410962</v>
      </c>
      <c r="X42" s="32">
        <f t="shared" si="21"/>
        <v>2046.0366362301372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-54302192.408759125</v>
      </c>
      <c r="K43" s="97" t="s">
        <v>5516</v>
      </c>
      <c r="L43" s="115">
        <f>J152</f>
        <v>349735348.60000002</v>
      </c>
      <c r="M43" s="19" t="s">
        <v>4358</v>
      </c>
      <c r="N43" s="115">
        <f t="shared" si="22"/>
        <v>156754000</v>
      </c>
      <c r="O43" s="67">
        <v>12058</v>
      </c>
      <c r="P43" s="67">
        <v>13000</v>
      </c>
      <c r="Q43" s="167">
        <v>2352469</v>
      </c>
      <c r="R43" s="210" t="s">
        <v>5704</v>
      </c>
      <c r="S43" s="195">
        <f>S42-2</f>
        <v>125</v>
      </c>
      <c r="T43" s="210" t="s">
        <v>5705</v>
      </c>
      <c r="U43" s="210">
        <v>15730</v>
      </c>
      <c r="V43" s="210">
        <f t="shared" si="6"/>
        <v>17477.452164383561</v>
      </c>
      <c r="W43" s="32">
        <f t="shared" ref="W43" si="23">V43*(1+$W$19/100)</f>
        <v>17827.001207671234</v>
      </c>
      <c r="X43" s="32">
        <f t="shared" ref="X43" si="24">V43*(1+$X$19/100)</f>
        <v>18176.550250958906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-51.716373722627736</v>
      </c>
      <c r="K44" s="97" t="s">
        <v>5674</v>
      </c>
      <c r="L44" s="115">
        <f>-747*P48</f>
        <v>-18973800</v>
      </c>
      <c r="M44" s="19" t="s">
        <v>4362</v>
      </c>
      <c r="N44" s="115">
        <f t="shared" si="22"/>
        <v>0</v>
      </c>
      <c r="O44" s="67">
        <v>0</v>
      </c>
      <c r="P44" s="67">
        <v>19500</v>
      </c>
      <c r="Q44" s="167"/>
      <c r="R44" s="210" t="s">
        <v>5709</v>
      </c>
      <c r="S44" s="195">
        <f>S43-1</f>
        <v>124</v>
      </c>
      <c r="T44" s="210" t="s">
        <v>5866</v>
      </c>
      <c r="U44" s="210">
        <v>16861.099999999999</v>
      </c>
      <c r="V44" s="210">
        <f t="shared" si="6"/>
        <v>18721.271985753425</v>
      </c>
      <c r="W44" s="32">
        <f t="shared" ref="W44:W46" si="25">V44*(1+$W$19/100)</f>
        <v>19095.697425468494</v>
      </c>
      <c r="X44" s="32">
        <f t="shared" ref="X44:X46" si="26">V44*(1+$X$19/100)</f>
        <v>19470.122865183563</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5869</v>
      </c>
      <c r="L45" s="115">
        <f>-20*P47</f>
        <v>-21000000</v>
      </c>
      <c r="M45" s="19" t="s">
        <v>4160</v>
      </c>
      <c r="N45" s="111">
        <f>O45*P45</f>
        <v>4952440672.7000008</v>
      </c>
      <c r="O45" s="97">
        <v>4379203</v>
      </c>
      <c r="P45" s="97">
        <v>1130.9000000000001</v>
      </c>
      <c r="Q45" s="167">
        <v>67414766</v>
      </c>
      <c r="R45" s="210" t="s">
        <v>5709</v>
      </c>
      <c r="S45" s="195">
        <f>S44</f>
        <v>124</v>
      </c>
      <c r="T45" s="210" t="s">
        <v>5716</v>
      </c>
      <c r="U45" s="210">
        <v>1582.3</v>
      </c>
      <c r="V45" s="210">
        <f t="shared" si="6"/>
        <v>1756.864538082192</v>
      </c>
      <c r="W45" s="32">
        <f t="shared" si="25"/>
        <v>1792.0018288438359</v>
      </c>
      <c r="X45" s="32">
        <f t="shared" si="26"/>
        <v>1827.1391196054797</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5087</v>
      </c>
      <c r="N46" s="111">
        <f t="shared" si="22"/>
        <v>0</v>
      </c>
      <c r="O46" s="97">
        <v>0</v>
      </c>
      <c r="P46" s="97">
        <v>8100</v>
      </c>
      <c r="Q46" s="167">
        <v>23400057</v>
      </c>
      <c r="R46" s="210" t="s">
        <v>5713</v>
      </c>
      <c r="S46" s="195">
        <f>S45-1</f>
        <v>123</v>
      </c>
      <c r="T46" s="210" t="s">
        <v>5717</v>
      </c>
      <c r="U46" s="210">
        <v>1610.6</v>
      </c>
      <c r="V46" s="210">
        <f t="shared" si="6"/>
        <v>1787.0511583561647</v>
      </c>
      <c r="W46" s="32">
        <f t="shared" si="25"/>
        <v>1822.792181523288</v>
      </c>
      <c r="X46" s="32">
        <f t="shared" si="26"/>
        <v>1858.5332046904114</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1050000</v>
      </c>
      <c r="Q47" s="167"/>
      <c r="R47" s="210" t="s">
        <v>5719</v>
      </c>
      <c r="S47" s="195">
        <f>S46-4</f>
        <v>119</v>
      </c>
      <c r="T47" s="210" t="s">
        <v>5720</v>
      </c>
      <c r="U47" s="210">
        <v>1582</v>
      </c>
      <c r="V47" s="210">
        <f t="shared" si="6"/>
        <v>1750.4634958904112</v>
      </c>
      <c r="W47" s="32">
        <f t="shared" ref="W47:W57" si="27">V47*(1+$W$19/100)</f>
        <v>1785.4727658082195</v>
      </c>
      <c r="X47" s="32">
        <f t="shared" ref="X47:X57" si="28">V47*(1+$X$19/100)</f>
        <v>1820.4820357260278</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5721</v>
      </c>
      <c r="S48" s="195">
        <f>S47-1</f>
        <v>118</v>
      </c>
      <c r="T48" s="210" t="s">
        <v>5722</v>
      </c>
      <c r="U48" s="210">
        <v>1530</v>
      </c>
      <c r="V48" s="210">
        <f t="shared" si="6"/>
        <v>1691.7524383561645</v>
      </c>
      <c r="W48" s="32">
        <f t="shared" si="27"/>
        <v>1725.5874871232877</v>
      </c>
      <c r="X48" s="32">
        <f t="shared" si="28"/>
        <v>1759.4225358904112</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5569</v>
      </c>
      <c r="L49" s="115"/>
      <c r="M49" s="166" t="s">
        <v>1136</v>
      </c>
      <c r="N49" s="115">
        <v>14908</v>
      </c>
      <c r="O49" s="72">
        <v>1</v>
      </c>
      <c r="P49" t="s">
        <v>25</v>
      </c>
      <c r="Q49" s="167"/>
      <c r="R49" s="210" t="s">
        <v>5724</v>
      </c>
      <c r="S49" s="195">
        <f>S48-2</f>
        <v>116</v>
      </c>
      <c r="T49" s="210" t="s">
        <v>5725</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5593</v>
      </c>
      <c r="L50" s="115">
        <v>-1605910</v>
      </c>
      <c r="M50" s="166" t="s">
        <v>1137</v>
      </c>
      <c r="N50" s="115">
        <v>5282</v>
      </c>
      <c r="O50" s="94"/>
      <c r="P50" t="s">
        <v>25</v>
      </c>
      <c r="Q50" s="167"/>
      <c r="R50" s="210" t="s">
        <v>5740</v>
      </c>
      <c r="S50" s="195">
        <f>S49-19</f>
        <v>97</v>
      </c>
      <c r="T50" s="210" t="s">
        <v>5741</v>
      </c>
      <c r="U50" s="210">
        <v>1160</v>
      </c>
      <c r="V50" s="210">
        <f t="shared" si="6"/>
        <v>1263.9487123287672</v>
      </c>
      <c r="W50" s="32">
        <f t="shared" si="27"/>
        <v>1289.2276865753427</v>
      </c>
      <c r="X50" s="32">
        <f t="shared" si="28"/>
        <v>1314.5066608219179</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O45+182825</f>
        <v>4562028</v>
      </c>
      <c r="P51" s="113"/>
      <c r="Q51" s="167"/>
      <c r="R51" s="210" t="s">
        <v>5742</v>
      </c>
      <c r="S51" s="195">
        <f>S50-1</f>
        <v>96</v>
      </c>
      <c r="T51" s="210" t="s">
        <v>5743</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c r="R52" s="210" t="s">
        <v>5744</v>
      </c>
      <c r="S52" s="195">
        <f>S51-1</f>
        <v>95</v>
      </c>
      <c r="T52" s="210" t="s">
        <v>5745</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5747</v>
      </c>
      <c r="S53" s="195">
        <f>S52-3</f>
        <v>92</v>
      </c>
      <c r="T53" s="210" t="s">
        <v>5748</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5750</v>
      </c>
      <c r="S54" s="195">
        <f>S53-2</f>
        <v>90</v>
      </c>
      <c r="T54" s="210" t="s">
        <v>5751</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-W139</f>
        <v>-98071070.733926624</v>
      </c>
      <c r="P55" t="s">
        <v>25</v>
      </c>
      <c r="Q55" s="167" t="s">
        <v>25</v>
      </c>
      <c r="R55" s="210" t="s">
        <v>5753</v>
      </c>
      <c r="S55" s="195">
        <f>S54-7</f>
        <v>83</v>
      </c>
      <c r="T55" s="210" t="s">
        <v>5754</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63</v>
      </c>
      <c r="T56" s="210" t="s">
        <v>5783</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5829</v>
      </c>
      <c r="S57" s="195">
        <f>S56-22</f>
        <v>41</v>
      </c>
      <c r="T57" s="210" t="s">
        <v>5830</v>
      </c>
      <c r="U57" s="210">
        <v>1302</v>
      </c>
      <c r="V57" s="210">
        <f t="shared" si="6"/>
        <v>1362.7409753424658</v>
      </c>
      <c r="W57" s="32">
        <f t="shared" si="27"/>
        <v>1389.9957948493152</v>
      </c>
      <c r="X57" s="32">
        <f t="shared" si="28"/>
        <v>1417.2506143561645</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3101514242.2460175</v>
      </c>
      <c r="P58" t="s">
        <v>25</v>
      </c>
      <c r="Q58" s="167"/>
      <c r="R58" s="210" t="s">
        <v>5836</v>
      </c>
      <c r="S58" s="195">
        <f>S57-1</f>
        <v>40</v>
      </c>
      <c r="T58" s="210" t="s">
        <v>5837</v>
      </c>
      <c r="U58" s="210">
        <v>1250</v>
      </c>
      <c r="V58" s="210">
        <f t="shared" si="6"/>
        <v>1307.3561643835619</v>
      </c>
      <c r="W58" s="32">
        <f t="shared" ref="W58:W64" si="29">V58*(1+$W$19/100)</f>
        <v>1333.5032876712332</v>
      </c>
      <c r="X58" s="32">
        <f t="shared" ref="X58:X64" si="30">V58*(1+$X$19/100)</f>
        <v>1359.6504109589043</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5382303525.0200567</v>
      </c>
      <c r="M59" s="166"/>
      <c r="N59" s="111">
        <f>N16+N17+N32</f>
        <v>641053</v>
      </c>
      <c r="Q59" s="167"/>
      <c r="R59" s="210" t="s">
        <v>5841</v>
      </c>
      <c r="S59" s="195">
        <f>S58-4</f>
        <v>36</v>
      </c>
      <c r="T59" s="210" t="s">
        <v>5842</v>
      </c>
      <c r="U59" s="210">
        <v>1195</v>
      </c>
      <c r="V59" s="210">
        <f t="shared" si="6"/>
        <v>1246.1656438356165</v>
      </c>
      <c r="W59" s="32">
        <f t="shared" si="29"/>
        <v>1271.0889567123288</v>
      </c>
      <c r="X59" s="32">
        <f t="shared" si="30"/>
        <v>1296.0122695890411</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5850</v>
      </c>
      <c r="S60" s="195">
        <f>S59-4</f>
        <v>32</v>
      </c>
      <c r="T60" s="210" t="s">
        <v>5854</v>
      </c>
      <c r="U60" s="210">
        <v>1190</v>
      </c>
      <c r="V60" s="210">
        <f t="shared" si="6"/>
        <v>1237.3000547945207</v>
      </c>
      <c r="W60" s="32">
        <f t="shared" si="29"/>
        <v>1262.0460558904113</v>
      </c>
      <c r="X60" s="32">
        <f t="shared" si="30"/>
        <v>1286.7920569863015</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5482303525.0200567</v>
      </c>
      <c r="O61" s="94"/>
      <c r="P61" s="94"/>
      <c r="Q61" s="167"/>
      <c r="R61" s="210" t="s">
        <v>5852</v>
      </c>
      <c r="S61" s="195">
        <f>S59-7</f>
        <v>29</v>
      </c>
      <c r="T61" s="210" t="s">
        <v>5853</v>
      </c>
      <c r="U61" s="210">
        <v>1147</v>
      </c>
      <c r="V61" s="210">
        <f t="shared" si="6"/>
        <v>1189.9512219178082</v>
      </c>
      <c r="W61" s="32">
        <f t="shared" si="29"/>
        <v>1213.7502463561643</v>
      </c>
      <c r="X61" s="32">
        <f t="shared" si="30"/>
        <v>1237.5492707945207</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5859</v>
      </c>
      <c r="S62" s="195">
        <f>S61-2</f>
        <v>27</v>
      </c>
      <c r="T62" s="210" t="s">
        <v>5867</v>
      </c>
      <c r="U62" s="210">
        <v>1170</v>
      </c>
      <c r="V62" s="210">
        <f t="shared" si="6"/>
        <v>1212.0174246575345</v>
      </c>
      <c r="W62" s="32">
        <f t="shared" si="29"/>
        <v>1236.2577731506854</v>
      </c>
      <c r="X62" s="32">
        <f t="shared" si="30"/>
        <v>1260.4981216438359</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5233</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1085825561.1758094</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862</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800</v>
      </c>
      <c r="T71" s="188" t="s">
        <v>4460</v>
      </c>
      <c r="U71" s="166">
        <v>184.6</v>
      </c>
      <c r="V71" s="166">
        <f t="shared" ref="V71:V86" si="32">U71*(1+$R$91+$Q$15*S71/36500)</f>
        <v>300.69468712328774</v>
      </c>
      <c r="W71" s="32">
        <f t="shared" ref="W71:W78" si="33">V71*(1+$W$19/100)</f>
        <v>306.7085808657535</v>
      </c>
      <c r="X71" s="32">
        <f t="shared" ref="X71:X78" si="34">V71*(1+$X$19/100)</f>
        <v>312.72247460821927</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779</v>
      </c>
      <c r="T72" s="187" t="s">
        <v>4464</v>
      </c>
      <c r="U72" s="166">
        <v>168.5</v>
      </c>
      <c r="V72" s="166">
        <f t="shared" si="32"/>
        <v>271.75495342465757</v>
      </c>
      <c r="W72" s="32">
        <f t="shared" si="33"/>
        <v>277.19005249315074</v>
      </c>
      <c r="X72" s="32">
        <f t="shared" si="34"/>
        <v>282.62515156164386</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778</v>
      </c>
      <c r="T73" s="187" t="s">
        <v>4468</v>
      </c>
      <c r="U73" s="166">
        <v>166.7</v>
      </c>
      <c r="V73" s="166">
        <f t="shared" si="32"/>
        <v>268.72405369863009</v>
      </c>
      <c r="W73" s="32">
        <f t="shared" si="33"/>
        <v>274.0985347726027</v>
      </c>
      <c r="X73" s="32">
        <f t="shared" si="34"/>
        <v>279.47301584657532</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5783</v>
      </c>
      <c r="P74" s="113"/>
      <c r="Q74" s="167">
        <v>183105</v>
      </c>
      <c r="R74" s="166" t="s">
        <v>4208</v>
      </c>
      <c r="S74" s="195">
        <f>S73-1</f>
        <v>777</v>
      </c>
      <c r="T74" s="187" t="s">
        <v>4472</v>
      </c>
      <c r="U74" s="166">
        <v>166.6</v>
      </c>
      <c r="V74" s="166">
        <f t="shared" si="32"/>
        <v>268.43504876712331</v>
      </c>
      <c r="W74" s="32">
        <f t="shared" si="33"/>
        <v>273.80374974246575</v>
      </c>
      <c r="X74" s="32">
        <f t="shared" si="34"/>
        <v>279.17245071780826</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5782</v>
      </c>
      <c r="Q75" s="167">
        <v>168846</v>
      </c>
      <c r="R75" s="166" t="s">
        <v>3675</v>
      </c>
      <c r="S75" s="195">
        <f>S74-30</f>
        <v>747</v>
      </c>
      <c r="T75" s="187" t="s">
        <v>4558</v>
      </c>
      <c r="U75" s="166">
        <v>172.2</v>
      </c>
      <c r="V75" s="166">
        <f t="shared" si="32"/>
        <v>273.49511671232881</v>
      </c>
      <c r="W75" s="32">
        <f t="shared" si="33"/>
        <v>278.96501904657538</v>
      </c>
      <c r="X75" s="32">
        <f t="shared" si="34"/>
        <v>284.43492138082195</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672</v>
      </c>
      <c r="T76" s="187" t="s">
        <v>4793</v>
      </c>
      <c r="U76" s="210">
        <v>183</v>
      </c>
      <c r="V76" s="210">
        <f t="shared" si="32"/>
        <v>280.11935342465756</v>
      </c>
      <c r="W76" s="32">
        <f t="shared" si="33"/>
        <v>285.72174049315072</v>
      </c>
      <c r="X76" s="32">
        <f t="shared" si="34"/>
        <v>291.32412756164388</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638</v>
      </c>
      <c r="T77" s="187" t="s">
        <v>4876</v>
      </c>
      <c r="U77" s="210">
        <v>218.5</v>
      </c>
      <c r="V77" s="210">
        <f t="shared" si="32"/>
        <v>328.76048767123291</v>
      </c>
      <c r="W77" s="32">
        <f t="shared" si="33"/>
        <v>335.33569742465755</v>
      </c>
      <c r="X77" s="32">
        <f t="shared" si="34"/>
        <v>341.91090717808225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622</v>
      </c>
      <c r="T78" s="187" t="s">
        <v>5665</v>
      </c>
      <c r="U78" s="210">
        <v>196.2</v>
      </c>
      <c r="V78" s="210">
        <f t="shared" si="32"/>
        <v>292.79920438356163</v>
      </c>
      <c r="W78" s="32">
        <f t="shared" si="33"/>
        <v>298.65518847123286</v>
      </c>
      <c r="X78" s="32">
        <f t="shared" si="34"/>
        <v>304.51117255890409</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5709</v>
      </c>
      <c r="S79" s="195">
        <f>S78-498</f>
        <v>124</v>
      </c>
      <c r="T79" s="187" t="s">
        <v>5710</v>
      </c>
      <c r="U79" s="210">
        <v>1550</v>
      </c>
      <c r="V79" s="210">
        <f t="shared" si="32"/>
        <v>1721.0010958904111</v>
      </c>
      <c r="W79" s="32">
        <f t="shared" ref="W79:W86" si="36">V79*(1+$W$19/100)</f>
        <v>1755.4211178082194</v>
      </c>
      <c r="X79" s="32">
        <f t="shared" ref="X79:X86" si="37">V79*(1+$X$19/100)</f>
        <v>1789.8411397260277</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5829</v>
      </c>
      <c r="S80" s="195">
        <f>S79-83</f>
        <v>41</v>
      </c>
      <c r="T80" s="187" t="s">
        <v>5831</v>
      </c>
      <c r="U80" s="210">
        <v>1275</v>
      </c>
      <c r="V80" s="210">
        <f t="shared" si="32"/>
        <v>1334.4813698630137</v>
      </c>
      <c r="W80" s="32">
        <f t="shared" si="36"/>
        <v>1361.1709972602739</v>
      </c>
      <c r="X80" s="32">
        <f t="shared" si="37"/>
        <v>1387.8606246575343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5635</v>
      </c>
      <c r="Q81" s="167"/>
      <c r="R81" s="19" t="s">
        <v>5841</v>
      </c>
      <c r="S81" s="195">
        <f>S80-5</f>
        <v>36</v>
      </c>
      <c r="T81" s="187" t="s">
        <v>5843</v>
      </c>
      <c r="U81" s="210">
        <v>1210</v>
      </c>
      <c r="V81" s="210">
        <f t="shared" si="32"/>
        <v>1261.8078904109591</v>
      </c>
      <c r="W81" s="32">
        <f t="shared" si="36"/>
        <v>1287.0440482191782</v>
      </c>
      <c r="X81" s="32">
        <f t="shared" si="37"/>
        <v>1312.2802060273975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5850</v>
      </c>
      <c r="S82" s="195">
        <f>S81-4</f>
        <v>32</v>
      </c>
      <c r="T82" s="187" t="s">
        <v>5851</v>
      </c>
      <c r="U82" s="210">
        <v>1175</v>
      </c>
      <c r="V82" s="210">
        <f t="shared" si="32"/>
        <v>1221.7038356164385</v>
      </c>
      <c r="W82" s="32">
        <f t="shared" si="36"/>
        <v>1246.1379123287672</v>
      </c>
      <c r="X82" s="32">
        <f t="shared" si="37"/>
        <v>1270.571989041096</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5852</v>
      </c>
      <c r="S83" s="195">
        <f>S82-3</f>
        <v>29</v>
      </c>
      <c r="T83" s="187" t="s">
        <v>5855</v>
      </c>
      <c r="U83" s="210">
        <v>1148</v>
      </c>
      <c r="V83" s="210">
        <f t="shared" si="32"/>
        <v>1190.9886684931507</v>
      </c>
      <c r="W83" s="32">
        <f t="shared" si="36"/>
        <v>1214.8084418630137</v>
      </c>
      <c r="X83" s="32">
        <f t="shared" si="37"/>
        <v>1238.6282152328768</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5862</v>
      </c>
      <c r="S84" s="195">
        <f>S83-1</f>
        <v>28</v>
      </c>
      <c r="T84" s="187" t="s">
        <v>5863</v>
      </c>
      <c r="U84" s="210">
        <v>1141</v>
      </c>
      <c r="V84" s="210">
        <f t="shared" si="32"/>
        <v>1182.8512547945206</v>
      </c>
      <c r="W84" s="32">
        <f t="shared" si="36"/>
        <v>1206.5082798904111</v>
      </c>
      <c r="X84" s="32">
        <f t="shared" si="37"/>
        <v>1230.1653049863014</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5859</v>
      </c>
      <c r="S85" s="195">
        <f>S84-1</f>
        <v>27</v>
      </c>
      <c r="T85" s="187" t="s">
        <v>5865</v>
      </c>
      <c r="U85" s="210">
        <v>1171</v>
      </c>
      <c r="V85" s="210">
        <f t="shared" si="32"/>
        <v>1213.0533369863015</v>
      </c>
      <c r="W85" s="32">
        <f t="shared" si="36"/>
        <v>1237.3144037260274</v>
      </c>
      <c r="X85" s="32">
        <f t="shared" si="37"/>
        <v>1261.5754704657536</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316971594.14629793</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862</v>
      </c>
      <c r="T95" s="5" t="s">
        <v>5632</v>
      </c>
      <c r="U95" s="166">
        <v>192</v>
      </c>
      <c r="V95" s="97">
        <f t="shared" ref="V95:V125" si="38">U95*(1+$R$91+$Q$15*S95/36500)</f>
        <v>321.88037260273973</v>
      </c>
      <c r="W95" s="32">
        <f t="shared" ref="W95" si="39">V95*(1+$W$19/100)</f>
        <v>328.31798005479453</v>
      </c>
      <c r="X95" s="32">
        <f t="shared" ref="X95" si="40">V95*(1+$X$19/100)</f>
        <v>334.75558750684934</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5438</v>
      </c>
      <c r="S96" s="210">
        <f>S95-574</f>
        <v>288</v>
      </c>
      <c r="T96" s="210" t="s">
        <v>5556</v>
      </c>
      <c r="U96" s="210">
        <v>8280.2000000000007</v>
      </c>
      <c r="V96" s="97">
        <f t="shared" si="38"/>
        <v>10235.416103013702</v>
      </c>
      <c r="W96" s="32">
        <f t="shared" ref="W96" si="42">V96*(1+$W$19/100)</f>
        <v>10440.124425073976</v>
      </c>
      <c r="X96" s="32">
        <f t="shared" ref="X96" si="43">V96*(1+$X$19/100)</f>
        <v>10644.832747134251</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5564</v>
      </c>
      <c r="S97" s="210">
        <f>S96-77</f>
        <v>211</v>
      </c>
      <c r="T97" s="210" t="s">
        <v>5756</v>
      </c>
      <c r="U97" s="210">
        <v>17019</v>
      </c>
      <c r="V97" s="97">
        <f t="shared" si="38"/>
        <v>20032.435430136986</v>
      </c>
      <c r="W97" s="32">
        <f t="shared" ref="W97" si="44">V97*(1+$W$19/100)</f>
        <v>20433.084138739727</v>
      </c>
      <c r="X97" s="32">
        <f t="shared" ref="X97" si="45">V97*(1+$X$19/100)</f>
        <v>20833.732847342468</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5637</v>
      </c>
      <c r="S98" s="210">
        <f>S97-44</f>
        <v>167</v>
      </c>
      <c r="T98" s="210" t="s">
        <v>5644</v>
      </c>
      <c r="U98" s="210">
        <v>1995.5</v>
      </c>
      <c r="V98" s="97">
        <f t="shared" si="38"/>
        <v>2281.4742849315071</v>
      </c>
      <c r="W98" s="32">
        <f t="shared" ref="W98:W99" si="46">V98*(1+$W$19/100)</f>
        <v>2327.1037706301372</v>
      </c>
      <c r="X98" s="32">
        <f t="shared" ref="X98:X99" si="47">V98*(1+$X$19/100)</f>
        <v>2372.7332563287673</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5640</v>
      </c>
      <c r="S99" s="210">
        <f>S98-5</f>
        <v>162</v>
      </c>
      <c r="T99" s="210" t="s">
        <v>5700</v>
      </c>
      <c r="U99" s="210">
        <v>1751</v>
      </c>
      <c r="V99" s="97">
        <f t="shared" si="38"/>
        <v>1995.2189260273974</v>
      </c>
      <c r="W99" s="32">
        <f t="shared" si="46"/>
        <v>2035.1233045479453</v>
      </c>
      <c r="X99" s="32">
        <f t="shared" si="47"/>
        <v>2075.0276830684934</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9284.6405517729236</v>
      </c>
      <c r="G100" s="197">
        <f>P45</f>
        <v>1130.9000000000001</v>
      </c>
      <c r="H100" s="197" t="s">
        <v>4715</v>
      </c>
      <c r="I100" s="197" t="s">
        <v>5326</v>
      </c>
      <c r="J100" s="211" t="s">
        <v>4220</v>
      </c>
      <c r="K100" s="197">
        <v>210</v>
      </c>
      <c r="L100" s="212">
        <f t="shared" ref="L100:L105" si="48">K100*$L$108</f>
        <v>2205000000</v>
      </c>
      <c r="M100" s="212">
        <f>N21+N28+N45+N41</f>
        <v>8233330851.5</v>
      </c>
      <c r="N100" s="181">
        <f t="shared" ref="N100:N105" si="49">L100-M100</f>
        <v>-6028330851.5</v>
      </c>
      <c r="P100" s="94"/>
      <c r="Q100" s="167">
        <v>106896832</v>
      </c>
      <c r="R100" s="210" t="s">
        <v>5702</v>
      </c>
      <c r="S100" s="210">
        <f>S99-36</f>
        <v>126</v>
      </c>
      <c r="T100" s="210" t="s">
        <v>5703</v>
      </c>
      <c r="U100" s="210">
        <v>1715</v>
      </c>
      <c r="V100" s="97">
        <f t="shared" si="38"/>
        <v>1906.8356712328771</v>
      </c>
      <c r="W100" s="32">
        <f t="shared" ref="W100" si="50">V100*(1+$W$19/100)</f>
        <v>1944.9723846575346</v>
      </c>
      <c r="X100" s="32">
        <f t="shared" ref="X100" si="51">V100*(1+$X$19/100)</f>
        <v>1983.1090980821923</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19500</v>
      </c>
      <c r="H101" s="210" t="s">
        <v>4877</v>
      </c>
      <c r="I101" s="210" t="s">
        <v>5327</v>
      </c>
      <c r="J101" s="32" t="s">
        <v>4362</v>
      </c>
      <c r="K101" s="210">
        <v>33</v>
      </c>
      <c r="L101" s="1">
        <f t="shared" si="48"/>
        <v>346500000</v>
      </c>
      <c r="M101" s="1">
        <f>N44+N26+N22</f>
        <v>0</v>
      </c>
      <c r="N101" s="111">
        <f t="shared" si="49"/>
        <v>346500000</v>
      </c>
      <c r="P101" s="94"/>
      <c r="Q101" s="167">
        <v>455942528</v>
      </c>
      <c r="R101" s="210" t="s">
        <v>5704</v>
      </c>
      <c r="S101" s="210">
        <f>S100-1</f>
        <v>125</v>
      </c>
      <c r="T101" s="210" t="s">
        <v>5706</v>
      </c>
      <c r="U101" s="210">
        <v>1631</v>
      </c>
      <c r="V101" s="97">
        <f t="shared" si="38"/>
        <v>1812.1884602739726</v>
      </c>
      <c r="W101" s="32">
        <f t="shared" ref="W101:W102" si="52">V101*(1+$W$19/100)</f>
        <v>1848.4322294794522</v>
      </c>
      <c r="X101" s="32">
        <f t="shared" ref="X101:X102" si="53">V101*(1+$X$19/100)</f>
        <v>1884.6759986849315</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13000</v>
      </c>
      <c r="H102" s="197" t="s">
        <v>4995</v>
      </c>
      <c r="I102" s="197" t="s">
        <v>5328</v>
      </c>
      <c r="J102" s="211" t="s">
        <v>4358</v>
      </c>
      <c r="K102" s="197">
        <v>0</v>
      </c>
      <c r="L102" s="212">
        <f t="shared" si="48"/>
        <v>0</v>
      </c>
      <c r="M102" s="212">
        <f>N43+N23</f>
        <v>169754000</v>
      </c>
      <c r="N102" s="181">
        <f t="shared" si="49"/>
        <v>-169754000</v>
      </c>
      <c r="P102" s="94"/>
      <c r="Q102" s="167">
        <v>834999909.33089697</v>
      </c>
      <c r="R102" s="210" t="s">
        <v>5709</v>
      </c>
      <c r="S102" s="210">
        <f>S101-1</f>
        <v>124</v>
      </c>
      <c r="T102" s="210" t="s">
        <v>5728</v>
      </c>
      <c r="U102" s="210">
        <v>1567.4</v>
      </c>
      <c r="V102" s="97">
        <f t="shared" si="38"/>
        <v>1740.3207210958908</v>
      </c>
      <c r="W102" s="32">
        <f t="shared" si="52"/>
        <v>1775.1271355178087</v>
      </c>
      <c r="X102" s="32">
        <f t="shared" si="53"/>
        <v>1809.9335499397264</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5329</v>
      </c>
      <c r="K103" s="187">
        <v>0</v>
      </c>
      <c r="L103" s="278">
        <f t="shared" si="48"/>
        <v>0</v>
      </c>
      <c r="M103" s="278">
        <f>N20+N25+N39</f>
        <v>7357</v>
      </c>
      <c r="N103" s="186">
        <f t="shared" si="49"/>
        <v>-7357</v>
      </c>
      <c r="P103" s="94"/>
      <c r="Q103" s="167"/>
      <c r="R103" s="210" t="s">
        <v>5729</v>
      </c>
      <c r="S103" s="210">
        <f>S102-13</f>
        <v>111</v>
      </c>
      <c r="T103" s="210" t="s">
        <v>5730</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10500000</v>
      </c>
      <c r="M104" s="212">
        <v>0</v>
      </c>
      <c r="N104" s="181">
        <f t="shared" si="49"/>
        <v>10500000</v>
      </c>
      <c r="Q104" s="167" t="s">
        <v>25</v>
      </c>
      <c r="R104" s="210" t="s">
        <v>5731</v>
      </c>
      <c r="S104" s="210">
        <f>S103-1</f>
        <v>110</v>
      </c>
      <c r="T104" s="210" t="s">
        <v>5732</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5439</v>
      </c>
      <c r="K105" s="189">
        <v>477</v>
      </c>
      <c r="L105" s="250">
        <f t="shared" si="48"/>
        <v>5008500000</v>
      </c>
      <c r="M105" s="250">
        <v>0</v>
      </c>
      <c r="N105" s="84">
        <f t="shared" si="49"/>
        <v>5008500000</v>
      </c>
      <c r="P105" t="s">
        <v>25</v>
      </c>
      <c r="Q105" s="167"/>
      <c r="R105" s="210" t="s">
        <v>5733</v>
      </c>
      <c r="S105" s="210">
        <f>S104-1</f>
        <v>109</v>
      </c>
      <c r="T105" s="210" t="s">
        <v>5790</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101000000</v>
      </c>
      <c r="O106" t="s">
        <v>25</v>
      </c>
      <c r="P106" t="s">
        <v>25</v>
      </c>
      <c r="Q106" s="167"/>
      <c r="R106" s="210" t="s">
        <v>5753</v>
      </c>
      <c r="S106" s="210">
        <f>S105-26</f>
        <v>83</v>
      </c>
      <c r="T106" s="210" t="s">
        <v>5760</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721</v>
      </c>
      <c r="L107" s="212"/>
      <c r="M107" s="212"/>
      <c r="N107" s="181"/>
      <c r="Q107" s="167"/>
      <c r="R107" s="210" t="s">
        <v>5771</v>
      </c>
      <c r="S107" s="210">
        <f>S106-8</f>
        <v>75</v>
      </c>
      <c r="T107" s="210" t="s">
        <v>5772</v>
      </c>
      <c r="U107" s="210">
        <v>14014</v>
      </c>
      <c r="V107" s="97">
        <f t="shared" si="38"/>
        <v>15033.297731506853</v>
      </c>
      <c r="W107" s="32">
        <f t="shared" ref="W107:W128" si="56">V107*(1+$W$19/100)</f>
        <v>15333.963686136991</v>
      </c>
      <c r="X107" s="32">
        <f t="shared" ref="X107:X128" si="57">V107*(1+$X$19/100)</f>
        <v>15634.629640767127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10500000</v>
      </c>
      <c r="M108" s="1">
        <f>K108*L108</f>
        <v>0</v>
      </c>
      <c r="N108" s="111">
        <f>SUM(N100:N106)-M108</f>
        <v>-731592208.5</v>
      </c>
      <c r="P108" s="112"/>
      <c r="Q108" s="167" t="s">
        <v>25</v>
      </c>
      <c r="R108" s="210" t="s">
        <v>5788</v>
      </c>
      <c r="S108" s="210">
        <f>S107-13</f>
        <v>62</v>
      </c>
      <c r="T108" s="210" t="s">
        <v>5810</v>
      </c>
      <c r="U108" s="210">
        <v>16700</v>
      </c>
      <c r="V108" s="97">
        <f t="shared" si="38"/>
        <v>17748.119452054794</v>
      </c>
      <c r="W108" s="32">
        <f t="shared" si="56"/>
        <v>18103.081841095889</v>
      </c>
      <c r="X108" s="32">
        <f t="shared" si="57"/>
        <v>18458.044230136988</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5796</v>
      </c>
      <c r="S109" s="210">
        <f>S108-6</f>
        <v>56</v>
      </c>
      <c r="T109" s="210" t="s">
        <v>5797</v>
      </c>
      <c r="U109" s="210">
        <v>1500</v>
      </c>
      <c r="V109" s="97">
        <f t="shared" si="38"/>
        <v>1587.2383561643837</v>
      </c>
      <c r="W109" s="32">
        <f t="shared" si="56"/>
        <v>1618.9831232876713</v>
      </c>
      <c r="X109" s="32">
        <f t="shared" si="57"/>
        <v>1650.7278904109592</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5798</v>
      </c>
      <c r="S110" s="210">
        <f>S109-1</f>
        <v>55</v>
      </c>
      <c r="T110" s="210" t="s">
        <v>5799</v>
      </c>
      <c r="U110" s="210">
        <v>1440</v>
      </c>
      <c r="V110" s="97">
        <f t="shared" si="38"/>
        <v>1522.6441643835619</v>
      </c>
      <c r="W110" s="32">
        <f t="shared" si="56"/>
        <v>1553.0970476712332</v>
      </c>
      <c r="X110" s="32">
        <f t="shared" si="57"/>
        <v>1583.5499309589045</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5800</v>
      </c>
      <c r="S111" s="210">
        <f>S110-1</f>
        <v>54</v>
      </c>
      <c r="T111" s="210" t="s">
        <v>5801</v>
      </c>
      <c r="U111" s="210">
        <v>1362</v>
      </c>
      <c r="V111" s="97">
        <f t="shared" si="38"/>
        <v>1439.1227835616439</v>
      </c>
      <c r="W111" s="32">
        <f t="shared" si="56"/>
        <v>1467.9052392328767</v>
      </c>
      <c r="X111" s="32">
        <f t="shared" si="57"/>
        <v>1496.6876949041098</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5808</v>
      </c>
      <c r="S112" s="210">
        <f>S111-1</f>
        <v>53</v>
      </c>
      <c r="T112" s="210" t="s">
        <v>5809</v>
      </c>
      <c r="U112" s="210">
        <v>1330</v>
      </c>
      <c r="V112" s="97">
        <f t="shared" si="38"/>
        <v>1404.2905205479453</v>
      </c>
      <c r="W112" s="32">
        <f t="shared" si="56"/>
        <v>1432.3763309589042</v>
      </c>
      <c r="X112" s="32">
        <f t="shared" si="57"/>
        <v>1460.4621413698633</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5816</v>
      </c>
      <c r="S113" s="210">
        <f>S112-4</f>
        <v>49</v>
      </c>
      <c r="T113" s="210" t="s">
        <v>5817</v>
      </c>
      <c r="U113" s="210">
        <v>1390</v>
      </c>
      <c r="V113" s="97">
        <f t="shared" si="38"/>
        <v>1463.3767671232877</v>
      </c>
      <c r="W113" s="32">
        <f t="shared" si="56"/>
        <v>1492.6443024657535</v>
      </c>
      <c r="X113" s="32">
        <f t="shared" si="57"/>
        <v>1521.9118378082192</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5818</v>
      </c>
      <c r="S114" s="210">
        <f>S113-1</f>
        <v>48</v>
      </c>
      <c r="T114" s="210" t="s">
        <v>5819</v>
      </c>
      <c r="U114" s="210">
        <v>1350</v>
      </c>
      <c r="V114" s="97">
        <f t="shared" si="38"/>
        <v>1420.229589041096</v>
      </c>
      <c r="W114" s="32">
        <f t="shared" si="56"/>
        <v>1448.6341808219179</v>
      </c>
      <c r="X114" s="32">
        <f t="shared" si="57"/>
        <v>1477.03877260274</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5820</v>
      </c>
      <c r="S115" s="210">
        <f>S114-2</f>
        <v>46</v>
      </c>
      <c r="T115" s="210" t="s">
        <v>5821</v>
      </c>
      <c r="U115" s="210">
        <v>1228</v>
      </c>
      <c r="V115" s="97">
        <f t="shared" si="38"/>
        <v>1289.9988602739727</v>
      </c>
      <c r="W115" s="32">
        <f t="shared" si="56"/>
        <v>1315.7988374794522</v>
      </c>
      <c r="X115" s="32">
        <f t="shared" si="57"/>
        <v>1341.5988146849315</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5820</v>
      </c>
      <c r="S116" s="210">
        <f>S115</f>
        <v>46</v>
      </c>
      <c r="T116" s="210" t="s">
        <v>5822</v>
      </c>
      <c r="U116" s="210">
        <v>15187</v>
      </c>
      <c r="V116" s="97">
        <f t="shared" si="38"/>
        <v>15953.7562630137</v>
      </c>
      <c r="W116" s="32">
        <f t="shared" si="56"/>
        <v>16272.831388273975</v>
      </c>
      <c r="X116" s="32">
        <f t="shared" si="57"/>
        <v>16591.90651353425</v>
      </c>
      <c r="Y116" s="94"/>
      <c r="Z116" s="94"/>
      <c r="AA116" s="94">
        <v>2578</v>
      </c>
      <c r="AH116" s="97">
        <v>96</v>
      </c>
      <c r="AI116" s="111" t="s">
        <v>4547</v>
      </c>
      <c r="AJ116" s="111">
        <v>4000000</v>
      </c>
      <c r="AK116" s="97">
        <v>1</v>
      </c>
      <c r="AL116" s="97">
        <f t="shared" si="41"/>
        <v>702</v>
      </c>
      <c r="AM116" s="115">
        <f t="shared" si="10"/>
        <v>2808000000</v>
      </c>
      <c r="AN116" s="97"/>
    </row>
    <row r="117" spans="6:46">
      <c r="F117" s="94"/>
      <c r="G117" s="97"/>
      <c r="H117" s="97" t="s">
        <v>5753</v>
      </c>
      <c r="I117" s="91" t="s">
        <v>5761</v>
      </c>
      <c r="J117" s="1">
        <v>260000000</v>
      </c>
      <c r="K117" s="318" t="s">
        <v>4358</v>
      </c>
      <c r="L117" s="167">
        <v>1100000</v>
      </c>
      <c r="M117" s="167">
        <v>4300000</v>
      </c>
      <c r="N117" s="166">
        <f t="shared" si="58"/>
        <v>290.90909090909093</v>
      </c>
      <c r="Q117" s="167"/>
      <c r="R117" s="210" t="s">
        <v>5826</v>
      </c>
      <c r="S117" s="210">
        <f>S116-4</f>
        <v>42</v>
      </c>
      <c r="T117" s="210" t="s">
        <v>5827</v>
      </c>
      <c r="U117" s="210">
        <v>1325</v>
      </c>
      <c r="V117" s="97">
        <f t="shared" si="38"/>
        <v>1387.8304109589044</v>
      </c>
      <c r="W117" s="32">
        <f t="shared" si="56"/>
        <v>1415.5870191780825</v>
      </c>
      <c r="X117" s="32">
        <f t="shared" si="57"/>
        <v>1443.3436273972607</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1130.9000000000001</v>
      </c>
      <c r="H118" s="97" t="s">
        <v>4220</v>
      </c>
      <c r="I118" s="97">
        <v>102500</v>
      </c>
      <c r="J118" s="1">
        <f>I118*G118</f>
        <v>115917250.00000001</v>
      </c>
      <c r="K118" s="319" t="s">
        <v>4375</v>
      </c>
      <c r="L118" s="167">
        <v>1100000</v>
      </c>
      <c r="M118" s="167">
        <v>3191000</v>
      </c>
      <c r="N118" s="166">
        <f t="shared" si="58"/>
        <v>190.09090909090909</v>
      </c>
      <c r="Q118" s="167"/>
      <c r="R118" s="210" t="s">
        <v>5829</v>
      </c>
      <c r="S118" s="210">
        <f>S117-1</f>
        <v>41</v>
      </c>
      <c r="T118" s="210" t="s">
        <v>5864</v>
      </c>
      <c r="U118" s="210">
        <v>1285</v>
      </c>
      <c r="V118" s="97">
        <f t="shared" si="38"/>
        <v>1344.947890410959</v>
      </c>
      <c r="W118" s="32">
        <f t="shared" si="56"/>
        <v>1371.8468482191781</v>
      </c>
      <c r="X118" s="32">
        <f t="shared" si="57"/>
        <v>1398.7458060273973</v>
      </c>
      <c r="Y118" s="94">
        <v>806229</v>
      </c>
      <c r="Z118" s="94"/>
      <c r="AA118" s="94"/>
      <c r="AH118" s="97">
        <v>98</v>
      </c>
      <c r="AI118" s="111" t="s">
        <v>4551</v>
      </c>
      <c r="AJ118" s="111">
        <v>13900000</v>
      </c>
      <c r="AK118" s="97">
        <v>2</v>
      </c>
      <c r="AL118" s="97">
        <f t="shared" si="41"/>
        <v>701</v>
      </c>
      <c r="AM118" s="115">
        <f t="shared" si="10"/>
        <v>9743900000</v>
      </c>
      <c r="AN118" s="97"/>
    </row>
    <row r="119" spans="6:46">
      <c r="F119" s="94"/>
      <c r="G119" s="97">
        <f>P43</f>
        <v>13000</v>
      </c>
      <c r="H119" s="97" t="s">
        <v>4358</v>
      </c>
      <c r="I119" s="97">
        <v>13418</v>
      </c>
      <c r="J119" s="1">
        <f>I119*G119</f>
        <v>174434000</v>
      </c>
      <c r="K119" s="319" t="s">
        <v>4487</v>
      </c>
      <c r="L119" s="167">
        <v>1100000</v>
      </c>
      <c r="M119" s="167">
        <v>5623000</v>
      </c>
      <c r="N119" s="166">
        <f t="shared" si="58"/>
        <v>411.18181818181819</v>
      </c>
      <c r="Q119" s="167"/>
      <c r="R119" s="210" t="s">
        <v>5829</v>
      </c>
      <c r="S119" s="210">
        <f>S118</f>
        <v>41</v>
      </c>
      <c r="T119" s="210" t="s">
        <v>5872</v>
      </c>
      <c r="U119" s="210">
        <v>16220</v>
      </c>
      <c r="V119" s="97">
        <f t="shared" si="38"/>
        <v>16976.696328767124</v>
      </c>
      <c r="W119" s="32">
        <f t="shared" si="56"/>
        <v>17316.230255342467</v>
      </c>
      <c r="X119" s="32">
        <f t="shared" si="57"/>
        <v>17655.76418191781</v>
      </c>
      <c r="Z119" s="94"/>
      <c r="AA119" s="94">
        <v>1724</v>
      </c>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8"/>
        <v>602.5454545454545</v>
      </c>
      <c r="Q120" s="167"/>
      <c r="R120" s="210" t="s">
        <v>5859</v>
      </c>
      <c r="S120" s="210">
        <f>S119-14</f>
        <v>27</v>
      </c>
      <c r="T120" s="210" t="s">
        <v>5868</v>
      </c>
      <c r="U120" s="210">
        <v>1165</v>
      </c>
      <c r="V120" s="97">
        <f t="shared" si="38"/>
        <v>1206.8378630136988</v>
      </c>
      <c r="W120" s="32">
        <f t="shared" si="56"/>
        <v>1230.9746202739727</v>
      </c>
      <c r="X120" s="32">
        <f t="shared" si="57"/>
        <v>1255.1113775342467</v>
      </c>
      <c r="Y120" s="94">
        <v>42424</v>
      </c>
      <c r="Z120" s="94"/>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9" t="s">
        <v>4489</v>
      </c>
      <c r="L121" s="167">
        <v>1100000</v>
      </c>
      <c r="M121" s="167">
        <v>2904000</v>
      </c>
      <c r="N121" s="166">
        <f t="shared" si="58"/>
        <v>164</v>
      </c>
      <c r="Q121" s="167"/>
      <c r="R121" s="210" t="s">
        <v>5870</v>
      </c>
      <c r="S121" s="210">
        <f>S120-2</f>
        <v>25</v>
      </c>
      <c r="T121" s="210" t="s">
        <v>5871</v>
      </c>
      <c r="U121" s="210">
        <v>1109</v>
      </c>
      <c r="V121" s="97">
        <f t="shared" si="38"/>
        <v>1147.1252931506851</v>
      </c>
      <c r="W121" s="32">
        <f t="shared" si="56"/>
        <v>1170.067799013699</v>
      </c>
      <c r="X121" s="32">
        <f t="shared" si="57"/>
        <v>1193.0103048767126</v>
      </c>
      <c r="Y121" s="94">
        <v>16387</v>
      </c>
      <c r="Z121" s="94"/>
      <c r="AA121" s="94"/>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30351250</v>
      </c>
      <c r="J122" s="1">
        <v>0</v>
      </c>
      <c r="K122" s="255" t="s">
        <v>1070</v>
      </c>
      <c r="L122" s="167">
        <v>1100000</v>
      </c>
      <c r="M122" s="167">
        <v>3400000</v>
      </c>
      <c r="N122" s="166">
        <f t="shared" si="58"/>
        <v>209.09090909090909</v>
      </c>
      <c r="Q122" s="167"/>
      <c r="R122" s="210" t="s">
        <v>5879</v>
      </c>
      <c r="S122" s="210">
        <f>S121-25</f>
        <v>0</v>
      </c>
      <c r="T122" s="210" t="s">
        <v>5880</v>
      </c>
      <c r="U122" s="210">
        <v>1198</v>
      </c>
      <c r="V122" s="97">
        <f t="shared" si="38"/>
        <v>1216.2096000000001</v>
      </c>
      <c r="W122" s="32">
        <f t="shared" si="56"/>
        <v>1240.5337920000002</v>
      </c>
      <c r="X122" s="32">
        <f t="shared" si="57"/>
        <v>1264.8579840000002</v>
      </c>
      <c r="Y122" s="94">
        <v>1804</v>
      </c>
      <c r="Z122" s="94"/>
      <c r="AA122" s="94"/>
      <c r="AH122" s="119">
        <v>102</v>
      </c>
      <c r="AI122" s="77" t="s">
        <v>4560</v>
      </c>
      <c r="AJ122" s="77">
        <v>13071612</v>
      </c>
      <c r="AK122" s="119">
        <v>1</v>
      </c>
      <c r="AL122" s="119">
        <f t="shared" si="59"/>
        <v>695</v>
      </c>
      <c r="AM122" s="77">
        <f t="shared" si="60"/>
        <v>9084770340</v>
      </c>
      <c r="AN122" s="202" t="s">
        <v>4561</v>
      </c>
    </row>
    <row r="123" spans="6:46">
      <c r="K123" s="236" t="s">
        <v>5397</v>
      </c>
      <c r="Q123" s="167"/>
      <c r="R123" s="210" t="s">
        <v>5879</v>
      </c>
      <c r="S123" s="210">
        <f>S122</f>
        <v>0</v>
      </c>
      <c r="T123" s="210" t="s">
        <v>5881</v>
      </c>
      <c r="U123" s="210">
        <v>13029</v>
      </c>
      <c r="V123" s="97">
        <f t="shared" si="38"/>
        <v>13227.040800000001</v>
      </c>
      <c r="W123" s="32">
        <f t="shared" si="56"/>
        <v>13491.581616000001</v>
      </c>
      <c r="X123" s="32">
        <f t="shared" si="57"/>
        <v>13756.122432000002</v>
      </c>
      <c r="Y123" s="94"/>
      <c r="Z123" s="94"/>
      <c r="AA123" s="94">
        <v>57</v>
      </c>
      <c r="AH123" s="87">
        <v>103</v>
      </c>
      <c r="AI123" s="88" t="s">
        <v>4564</v>
      </c>
      <c r="AJ123" s="88">
        <v>16727037</v>
      </c>
      <c r="AK123" s="87">
        <v>0</v>
      </c>
      <c r="AL123" s="87">
        <f t="shared" si="59"/>
        <v>694</v>
      </c>
      <c r="AM123" s="88">
        <f t="shared" si="60"/>
        <v>11608563678</v>
      </c>
      <c r="AN123" s="87" t="s">
        <v>4571</v>
      </c>
    </row>
    <row r="124" spans="6:46">
      <c r="K124" s="236" t="s">
        <v>4518</v>
      </c>
      <c r="Q124" s="167"/>
      <c r="R124" s="210" t="s">
        <v>5882</v>
      </c>
      <c r="S124" s="210">
        <f>S122-2</f>
        <v>-2</v>
      </c>
      <c r="T124" s="210" t="s">
        <v>5883</v>
      </c>
      <c r="U124" s="210">
        <v>13001</v>
      </c>
      <c r="V124" s="97">
        <f t="shared" si="38"/>
        <v>13178.668460273973</v>
      </c>
      <c r="W124" s="32">
        <f t="shared" si="56"/>
        <v>13442.241829479453</v>
      </c>
      <c r="X124" s="32">
        <f t="shared" si="57"/>
        <v>13705.815198684933</v>
      </c>
      <c r="Y124" s="94"/>
      <c r="Z124" s="94"/>
      <c r="AA124" s="94">
        <v>1</v>
      </c>
      <c r="AH124" s="97">
        <v>104</v>
      </c>
      <c r="AI124" s="111" t="s">
        <v>4564</v>
      </c>
      <c r="AJ124" s="111">
        <v>12000000</v>
      </c>
      <c r="AK124" s="97">
        <v>1</v>
      </c>
      <c r="AL124" s="97">
        <f t="shared" si="59"/>
        <v>694</v>
      </c>
      <c r="AM124" s="115">
        <f t="shared" si="60"/>
        <v>8328000000</v>
      </c>
      <c r="AN124" s="97" t="s">
        <v>4572</v>
      </c>
    </row>
    <row r="125" spans="6:46">
      <c r="G125" s="210" t="s">
        <v>25</v>
      </c>
      <c r="H125" s="210" t="s">
        <v>5606</v>
      </c>
      <c r="I125" s="213" t="s">
        <v>5517</v>
      </c>
      <c r="J125" s="1">
        <v>50000000</v>
      </c>
      <c r="K125" s="236" t="s">
        <v>4519</v>
      </c>
      <c r="P125" t="s">
        <v>25</v>
      </c>
      <c r="Q125" s="167"/>
      <c r="R125" s="210" t="s">
        <v>5885</v>
      </c>
      <c r="S125" s="210">
        <f>S124-4</f>
        <v>-6</v>
      </c>
      <c r="T125" s="210" t="s">
        <v>5886</v>
      </c>
      <c r="U125" s="210">
        <v>1057</v>
      </c>
      <c r="V125" s="97">
        <f t="shared" si="38"/>
        <v>1068.2013041095893</v>
      </c>
      <c r="W125" s="32">
        <f t="shared" si="56"/>
        <v>1089.5653301917812</v>
      </c>
      <c r="X125" s="32">
        <f t="shared" si="57"/>
        <v>1110.9293562739729</v>
      </c>
      <c r="Y125" s="94">
        <v>182825</v>
      </c>
      <c r="Z125" s="94"/>
      <c r="AA125" s="94"/>
      <c r="AH125" s="87">
        <v>105</v>
      </c>
      <c r="AI125" s="88" t="s">
        <v>4501</v>
      </c>
      <c r="AJ125" s="88">
        <v>88697667</v>
      </c>
      <c r="AK125" s="87">
        <v>1</v>
      </c>
      <c r="AL125" s="87">
        <f t="shared" si="59"/>
        <v>693</v>
      </c>
      <c r="AM125" s="88">
        <f t="shared" si="60"/>
        <v>61467483231</v>
      </c>
      <c r="AN125" s="87" t="s">
        <v>4573</v>
      </c>
      <c r="AP125" t="s">
        <v>25</v>
      </c>
    </row>
    <row r="126" spans="6:46">
      <c r="G126" s="210">
        <f>P44</f>
        <v>19500</v>
      </c>
      <c r="H126" s="210" t="s">
        <v>4362</v>
      </c>
      <c r="I126" s="210">
        <v>4386</v>
      </c>
      <c r="J126" s="111">
        <f>G126*I126</f>
        <v>85527000</v>
      </c>
      <c r="Q126" s="167"/>
      <c r="R126" s="210"/>
      <c r="S126" s="210"/>
      <c r="T126" s="210"/>
      <c r="U126" s="210"/>
      <c r="V126" s="97"/>
      <c r="W126" s="32"/>
      <c r="X126" s="32"/>
      <c r="Y126" s="94"/>
      <c r="Z126" s="94"/>
      <c r="AA126" s="94"/>
      <c r="AH126" s="97">
        <v>106</v>
      </c>
      <c r="AI126" s="111" t="s">
        <v>4504</v>
      </c>
      <c r="AJ126" s="111">
        <v>101000</v>
      </c>
      <c r="AK126" s="97">
        <v>0</v>
      </c>
      <c r="AL126" s="97">
        <f t="shared" si="59"/>
        <v>692</v>
      </c>
      <c r="AM126" s="115">
        <f t="shared" si="60"/>
        <v>69892000</v>
      </c>
      <c r="AN126" s="97"/>
      <c r="AQ126" t="s">
        <v>25</v>
      </c>
    </row>
    <row r="127" spans="6:46">
      <c r="G127" s="210">
        <v>1</v>
      </c>
      <c r="H127" s="210" t="s">
        <v>5515</v>
      </c>
      <c r="I127" s="210">
        <v>654098</v>
      </c>
      <c r="J127" s="111">
        <f>G127*I127</f>
        <v>654098</v>
      </c>
      <c r="Q127" s="167" t="s">
        <v>25</v>
      </c>
      <c r="R127" s="210"/>
      <c r="S127" s="210"/>
      <c r="T127" s="210"/>
      <c r="U127" s="210"/>
      <c r="V127" s="97">
        <f>U127*(1+$R$91+$Q$15*S127/36500)</f>
        <v>0</v>
      </c>
      <c r="W127" s="32">
        <f t="shared" si="56"/>
        <v>0</v>
      </c>
      <c r="X127" s="32">
        <f t="shared" si="57"/>
        <v>0</v>
      </c>
      <c r="Y127" s="94"/>
      <c r="Z127" s="94"/>
      <c r="AA127" s="94"/>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s="167"/>
      <c r="R128" s="166"/>
      <c r="S128" s="166"/>
      <c r="T128" s="166" t="s">
        <v>25</v>
      </c>
      <c r="U128" s="166"/>
      <c r="V128" s="97">
        <f>U128*(1+$R$91+$Q$15*S128/36500)</f>
        <v>0</v>
      </c>
      <c r="W128" s="32">
        <f t="shared" si="56"/>
        <v>0</v>
      </c>
      <c r="X128" s="32">
        <f t="shared" si="57"/>
        <v>0</v>
      </c>
      <c r="Z128" t="s">
        <v>25</v>
      </c>
      <c r="AA128" s="94"/>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36181098</v>
      </c>
      <c r="J129" s="210"/>
      <c r="Q129" s="111">
        <f>SUM(N41:N47)-SUM(Q95:Q128)</f>
        <v>3254999739.1136551</v>
      </c>
      <c r="R129" s="110"/>
      <c r="S129" s="110"/>
      <c r="T129" s="110"/>
      <c r="U129" s="166"/>
      <c r="V129" s="97" t="s">
        <v>25</v>
      </c>
      <c r="W129" s="32"/>
      <c r="X129" s="32"/>
      <c r="Y129" t="s">
        <v>25</v>
      </c>
      <c r="Z129" t="s">
        <v>25</v>
      </c>
      <c r="AA129" s="94" t="s">
        <v>25</v>
      </c>
      <c r="AH129" s="87">
        <v>109</v>
      </c>
      <c r="AI129" s="88" t="s">
        <v>4593</v>
      </c>
      <c r="AJ129" s="88">
        <v>8749050</v>
      </c>
      <c r="AK129" s="87">
        <v>1</v>
      </c>
      <c r="AL129" s="87">
        <f t="shared" si="61"/>
        <v>688</v>
      </c>
      <c r="AM129" s="88">
        <f t="shared" si="60"/>
        <v>6019346400</v>
      </c>
      <c r="AN129" s="87" t="s">
        <v>4594</v>
      </c>
    </row>
    <row r="130" spans="7:43">
      <c r="K130" t="s">
        <v>25</v>
      </c>
      <c r="Q130" s="26"/>
      <c r="R130" s="179"/>
      <c r="S130" s="179"/>
      <c r="T130" t="s">
        <v>25</v>
      </c>
      <c r="U130" s="94" t="s">
        <v>25</v>
      </c>
      <c r="V130" s="94" t="s">
        <v>25</v>
      </c>
      <c r="W130" s="94" t="s">
        <v>25</v>
      </c>
      <c r="Y130" t="s">
        <v>25</v>
      </c>
      <c r="Z130" t="s">
        <v>25</v>
      </c>
      <c r="AA130" s="94"/>
      <c r="AH130" s="97">
        <v>110</v>
      </c>
      <c r="AI130" s="111" t="s">
        <v>4595</v>
      </c>
      <c r="AJ130" s="111">
        <v>60000</v>
      </c>
      <c r="AK130" s="97">
        <v>1</v>
      </c>
      <c r="AL130" s="97">
        <f t="shared" si="61"/>
        <v>687</v>
      </c>
      <c r="AM130" s="115">
        <f t="shared" si="60"/>
        <v>41220000</v>
      </c>
      <c r="AN130" s="97" t="s">
        <v>4596</v>
      </c>
    </row>
    <row r="131" spans="7:43">
      <c r="K131" t="s">
        <v>25</v>
      </c>
      <c r="R131" s="32" t="s">
        <v>4521</v>
      </c>
      <c r="S131" s="32" t="s">
        <v>935</v>
      </c>
      <c r="T131" t="s">
        <v>25</v>
      </c>
      <c r="U131" s="94" t="s">
        <v>25</v>
      </c>
      <c r="V131" s="94" t="s">
        <v>25</v>
      </c>
      <c r="W131" s="94" t="s">
        <v>25</v>
      </c>
      <c r="X131" s="120" t="s">
        <v>25</v>
      </c>
      <c r="Y131" t="s">
        <v>25</v>
      </c>
      <c r="Z131" t="s">
        <v>25</v>
      </c>
      <c r="AH131" s="20">
        <v>111</v>
      </c>
      <c r="AI131" s="115" t="s">
        <v>4604</v>
      </c>
      <c r="AJ131" s="115">
        <v>4750000</v>
      </c>
      <c r="AK131" s="20">
        <v>0</v>
      </c>
      <c r="AL131" s="97">
        <f t="shared" si="61"/>
        <v>686</v>
      </c>
      <c r="AM131" s="115">
        <f t="shared" si="60"/>
        <v>3258500000</v>
      </c>
      <c r="AN131" s="20"/>
      <c r="AQ131" t="s">
        <v>25</v>
      </c>
    </row>
    <row r="132" spans="7:43">
      <c r="G132" s="210"/>
      <c r="H132" s="210" t="s">
        <v>5605</v>
      </c>
      <c r="I132" s="213" t="s">
        <v>5762</v>
      </c>
      <c r="J132" s="1">
        <v>79922415</v>
      </c>
      <c r="K132" t="s">
        <v>25</v>
      </c>
      <c r="P132" t="s">
        <v>25</v>
      </c>
      <c r="R132" s="32">
        <v>4570</v>
      </c>
      <c r="S132" s="167">
        <v>152128600.70081395</v>
      </c>
      <c r="T132" t="s">
        <v>25</v>
      </c>
      <c r="U132" s="94" t="s">
        <v>25</v>
      </c>
      <c r="V132" s="120" t="s">
        <v>25</v>
      </c>
      <c r="W132" s="94" t="s">
        <v>25</v>
      </c>
      <c r="X132" t="s">
        <v>25</v>
      </c>
      <c r="Y132" t="s">
        <v>25</v>
      </c>
      <c r="Z132" t="s">
        <v>25</v>
      </c>
      <c r="AA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Q133" t="s">
        <v>25</v>
      </c>
      <c r="R133" s="32">
        <v>1689</v>
      </c>
      <c r="S133" s="1">
        <f>S132*R133/R132</f>
        <v>56224334.044567786</v>
      </c>
      <c r="T133" s="112" t="s">
        <v>25</v>
      </c>
      <c r="U133" s="94" t="s">
        <v>25</v>
      </c>
      <c r="V133" s="120" t="s">
        <v>25</v>
      </c>
      <c r="W133" s="94" t="s">
        <v>25</v>
      </c>
      <c r="X133" t="s">
        <v>25</v>
      </c>
      <c r="Y133" t="s">
        <v>25</v>
      </c>
      <c r="Z133" t="s">
        <v>25</v>
      </c>
      <c r="AH133" s="20">
        <v>113</v>
      </c>
      <c r="AI133" s="115" t="s">
        <v>4606</v>
      </c>
      <c r="AJ133" s="115">
        <v>-980000</v>
      </c>
      <c r="AK133" s="20">
        <v>0</v>
      </c>
      <c r="AL133" s="97">
        <f t="shared" si="61"/>
        <v>685</v>
      </c>
      <c r="AM133" s="115">
        <f t="shared" si="60"/>
        <v>-671300000</v>
      </c>
      <c r="AN133" s="20"/>
    </row>
    <row r="134" spans="7:43">
      <c r="G134" s="1">
        <f>P45</f>
        <v>1130.9000000000001</v>
      </c>
      <c r="H134" s="210" t="s">
        <v>4220</v>
      </c>
      <c r="I134" s="210">
        <v>241029</v>
      </c>
      <c r="J134" s="1">
        <f>I134*G134</f>
        <v>272579696.10000002</v>
      </c>
      <c r="R134" s="32">
        <f>R132-R133</f>
        <v>2881</v>
      </c>
      <c r="S134" s="1">
        <f>R134*S132/R132</f>
        <v>95904266.65624617</v>
      </c>
      <c r="T134" t="s">
        <v>25</v>
      </c>
      <c r="U134" s="120" t="s">
        <v>25</v>
      </c>
      <c r="V134" s="94"/>
      <c r="W134" s="120" t="s">
        <v>25</v>
      </c>
      <c r="X134" t="s">
        <v>25</v>
      </c>
      <c r="Y134" t="s">
        <v>25</v>
      </c>
      <c r="Z134" t="s">
        <v>25</v>
      </c>
      <c r="AH134" s="87">
        <v>114</v>
      </c>
      <c r="AI134" s="88" t="s">
        <v>4606</v>
      </c>
      <c r="AJ134" s="88">
        <v>13301790</v>
      </c>
      <c r="AK134" s="87">
        <v>0</v>
      </c>
      <c r="AL134" s="87">
        <f t="shared" si="61"/>
        <v>685</v>
      </c>
      <c r="AM134" s="88">
        <f t="shared" si="60"/>
        <v>9111726150</v>
      </c>
      <c r="AN134" s="87" t="s">
        <v>4607</v>
      </c>
      <c r="AQ134" t="s">
        <v>25</v>
      </c>
    </row>
    <row r="135" spans="7:43">
      <c r="G135" s="1">
        <f>P44</f>
        <v>19500</v>
      </c>
      <c r="H135" s="210" t="s">
        <v>4362</v>
      </c>
      <c r="I135" s="210">
        <v>2535</v>
      </c>
      <c r="J135" s="1">
        <f>I135*G135</f>
        <v>49432500</v>
      </c>
      <c r="K135" t="s">
        <v>25</v>
      </c>
      <c r="T135" t="s">
        <v>25</v>
      </c>
      <c r="V135" s="94"/>
      <c r="W135"/>
      <c r="X135" t="s">
        <v>25</v>
      </c>
      <c r="Y135" t="s">
        <v>25</v>
      </c>
      <c r="Z135" t="s">
        <v>25</v>
      </c>
      <c r="AA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Q136" s="94" t="s">
        <v>25</v>
      </c>
      <c r="R136" s="94"/>
      <c r="S136" s="94"/>
      <c r="T136" s="94"/>
      <c r="U136" s="310" t="s">
        <v>4409</v>
      </c>
      <c r="V136" s="310" t="s">
        <v>4422</v>
      </c>
      <c r="W136" s="310" t="s">
        <v>4423</v>
      </c>
      <c r="X136" t="s">
        <v>25</v>
      </c>
      <c r="Y136" t="s">
        <v>25</v>
      </c>
      <c r="AA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242089781.10000002</v>
      </c>
      <c r="J137" s="1">
        <f>SUM(J134:J136)</f>
        <v>322012196.10000002</v>
      </c>
      <c r="Q137" s="94"/>
      <c r="R137" s="94"/>
      <c r="S137" s="94" t="s">
        <v>25</v>
      </c>
      <c r="T137" s="120">
        <f>V138-V145</f>
        <v>2722263</v>
      </c>
      <c r="U137" s="310" t="s">
        <v>744</v>
      </c>
      <c r="V137" s="310">
        <v>1517230</v>
      </c>
      <c r="W137" s="88">
        <f>V137*$T$456</f>
        <v>2868861501.7474933</v>
      </c>
      <c r="Y137" t="s">
        <v>25</v>
      </c>
      <c r="AA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T138" s="120"/>
      <c r="U138" s="310" t="s">
        <v>4411</v>
      </c>
      <c r="V138" s="310">
        <v>2722263</v>
      </c>
      <c r="W138" s="88">
        <f>V138*$T$456</f>
        <v>5147403833.5200567</v>
      </c>
      <c r="X138" s="94" t="s">
        <v>25</v>
      </c>
      <c r="Y138" t="s">
        <v>25</v>
      </c>
      <c r="Z138" t="s">
        <v>25</v>
      </c>
      <c r="AH138" s="119">
        <v>118</v>
      </c>
      <c r="AI138" s="77" t="s">
        <v>4634</v>
      </c>
      <c r="AJ138" s="77">
        <v>8739459</v>
      </c>
      <c r="AK138" s="119">
        <v>2</v>
      </c>
      <c r="AL138" s="119">
        <f t="shared" si="61"/>
        <v>673</v>
      </c>
      <c r="AM138" s="77">
        <f t="shared" si="60"/>
        <v>5881655907</v>
      </c>
      <c r="AN138" s="119" t="s">
        <v>4594</v>
      </c>
    </row>
    <row r="139" spans="7:43">
      <c r="K139" s="94"/>
      <c r="R139" t="s">
        <v>25</v>
      </c>
      <c r="T139" s="94"/>
      <c r="U139" s="310" t="s">
        <v>4410</v>
      </c>
      <c r="V139" s="310">
        <v>51866</v>
      </c>
      <c r="W139" s="88">
        <f>V139*$T$456</f>
        <v>98071070.733926624</v>
      </c>
      <c r="X139" s="214"/>
      <c r="Y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5604</v>
      </c>
      <c r="I140" s="213" t="s">
        <v>5521</v>
      </c>
      <c r="J140" s="1">
        <v>36319143</v>
      </c>
      <c r="K140" s="94"/>
      <c r="L140" s="94"/>
      <c r="P140" s="112"/>
      <c r="Q140" t="s">
        <v>25</v>
      </c>
      <c r="R140" t="s">
        <v>25</v>
      </c>
      <c r="S140" t="s">
        <v>25</v>
      </c>
      <c r="T140" s="94" t="s">
        <v>25</v>
      </c>
      <c r="U140" s="310" t="s">
        <v>1071</v>
      </c>
      <c r="V140" s="310">
        <v>159774</v>
      </c>
      <c r="W140" s="88">
        <f>V140*$T$456</f>
        <v>302109421.49852294</v>
      </c>
      <c r="X140" s="113"/>
      <c r="Z140" t="s">
        <v>25</v>
      </c>
      <c r="AH140" s="119">
        <v>120</v>
      </c>
      <c r="AI140" s="77" t="s">
        <v>4636</v>
      </c>
      <c r="AJ140" s="77">
        <v>13335309</v>
      </c>
      <c r="AK140" s="119">
        <v>13</v>
      </c>
      <c r="AL140" s="119">
        <f t="shared" si="61"/>
        <v>670</v>
      </c>
      <c r="AM140" s="77">
        <f t="shared" si="60"/>
        <v>8934657030</v>
      </c>
      <c r="AN140" s="119" t="s">
        <v>4607</v>
      </c>
    </row>
    <row r="141" spans="7:43">
      <c r="G141" s="1">
        <f>P45</f>
        <v>1130.9000000000001</v>
      </c>
      <c r="H141" s="210" t="s">
        <v>4220</v>
      </c>
      <c r="I141" s="210">
        <v>68595</v>
      </c>
      <c r="J141" s="1">
        <f>G141*I141</f>
        <v>77574085.5</v>
      </c>
      <c r="K141" s="94"/>
      <c r="L141" s="94"/>
      <c r="M141" s="94"/>
      <c r="N141" s="94"/>
      <c r="O141" s="94"/>
      <c r="R141" t="s">
        <v>25</v>
      </c>
      <c r="S141" t="s">
        <v>25</v>
      </c>
      <c r="T141" s="94"/>
      <c r="U141" s="310"/>
      <c r="V141" s="310"/>
      <c r="W141" s="310"/>
      <c r="X141" s="113"/>
      <c r="Y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19500</v>
      </c>
      <c r="H142" s="210" t="s">
        <v>4362</v>
      </c>
      <c r="I142" s="210">
        <v>1703</v>
      </c>
      <c r="J142" s="1">
        <f>G142*I142</f>
        <v>33208500</v>
      </c>
      <c r="K142" s="94"/>
      <c r="L142" s="94"/>
      <c r="M142" s="94"/>
      <c r="N142" s="94"/>
      <c r="O142" s="94"/>
      <c r="Q142" t="s">
        <v>25</v>
      </c>
      <c r="S142" t="s">
        <v>25</v>
      </c>
      <c r="T142" s="94" t="s">
        <v>25</v>
      </c>
      <c r="U142" s="87"/>
      <c r="V142" s="87"/>
      <c r="W142" s="87"/>
      <c r="X142" s="112"/>
      <c r="Y142" t="s">
        <v>25</v>
      </c>
      <c r="Z142" t="s">
        <v>25</v>
      </c>
      <c r="AH142" s="20">
        <v>122</v>
      </c>
      <c r="AI142" s="115" t="s">
        <v>959</v>
      </c>
      <c r="AJ142" s="115">
        <v>30000</v>
      </c>
      <c r="AK142" s="20">
        <v>3</v>
      </c>
      <c r="AL142" s="20">
        <f t="shared" si="61"/>
        <v>646</v>
      </c>
      <c r="AM142" s="115">
        <f t="shared" si="60"/>
        <v>19380000</v>
      </c>
      <c r="AN142" s="20"/>
    </row>
    <row r="143" spans="7:43">
      <c r="G143" s="210"/>
      <c r="H143" s="210"/>
      <c r="I143" s="186">
        <f>J143-J140</f>
        <v>74463442.5</v>
      </c>
      <c r="J143" s="1">
        <f>SUM(J141:J142)</f>
        <v>110782585.5</v>
      </c>
      <c r="K143" s="94"/>
      <c r="L143" s="94" t="s">
        <v>25</v>
      </c>
      <c r="M143" s="94"/>
      <c r="N143" s="94"/>
      <c r="O143" s="94"/>
      <c r="Q143" s="94" t="s">
        <v>25</v>
      </c>
      <c r="R143" s="94"/>
      <c r="S143" s="94" t="s">
        <v>25</v>
      </c>
      <c r="T143" s="94" t="s">
        <v>25</v>
      </c>
      <c r="U143" s="87"/>
      <c r="V143" s="87"/>
      <c r="W143" s="87"/>
      <c r="X143" s="94"/>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c r="R144" s="94"/>
      <c r="S144" s="94"/>
      <c r="T144" s="94" t="s">
        <v>25</v>
      </c>
      <c r="U144" s="87"/>
      <c r="V144" s="87">
        <f>SUM(V137:V140)</f>
        <v>4451133</v>
      </c>
      <c r="W144" s="87"/>
      <c r="X144" s="94"/>
      <c r="Y144" t="s">
        <v>25</v>
      </c>
      <c r="Z144" t="s">
        <v>25</v>
      </c>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Q145" s="94" t="s">
        <v>25</v>
      </c>
      <c r="R145" s="94"/>
      <c r="S145" s="94"/>
      <c r="T145" s="94" t="s">
        <v>25</v>
      </c>
      <c r="U145" s="87"/>
      <c r="V145" s="87">
        <f>V144-U453</f>
        <v>0</v>
      </c>
      <c r="W145" s="87"/>
      <c r="X145" s="94"/>
      <c r="Z145" t="s">
        <v>25</v>
      </c>
      <c r="AH145" s="20">
        <v>125</v>
      </c>
      <c r="AI145" s="115" t="s">
        <v>4757</v>
      </c>
      <c r="AJ145" s="115">
        <v>2250000</v>
      </c>
      <c r="AK145" s="20">
        <v>1</v>
      </c>
      <c r="AL145" s="20">
        <f t="shared" si="61"/>
        <v>639</v>
      </c>
      <c r="AM145" s="115">
        <f>AJ145*AL145</f>
        <v>1437750000</v>
      </c>
      <c r="AN145" s="20"/>
      <c r="AR145" t="s">
        <v>25</v>
      </c>
    </row>
    <row r="146" spans="5:44">
      <c r="N146" s="94"/>
      <c r="O146" s="94"/>
      <c r="P146" s="112"/>
      <c r="Q146" s="94" t="s">
        <v>25</v>
      </c>
      <c r="R146" s="94"/>
      <c r="S146" s="94"/>
      <c r="T146" s="94"/>
      <c r="U146" s="87"/>
      <c r="V146" s="87" t="s">
        <v>4946</v>
      </c>
      <c r="W146" s="140">
        <f>W137-R154</f>
        <v>-21560876.752506733</v>
      </c>
      <c r="X146" s="94"/>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94"/>
      <c r="U147" s="87"/>
      <c r="V147" s="87" t="s">
        <v>4947</v>
      </c>
      <c r="W147" s="140">
        <f>W140+W139-R155</f>
        <v>50295864.832449496</v>
      </c>
      <c r="X147" s="113"/>
      <c r="Y147" t="s">
        <v>25</v>
      </c>
      <c r="AB147" s="94"/>
      <c r="AH147" s="20">
        <v>127</v>
      </c>
      <c r="AI147" s="115" t="s">
        <v>4771</v>
      </c>
      <c r="AJ147" s="115">
        <v>70000</v>
      </c>
      <c r="AK147" s="20">
        <v>9</v>
      </c>
      <c r="AL147" s="20">
        <f t="shared" si="61"/>
        <v>637</v>
      </c>
      <c r="AM147" s="115">
        <f>AJ147*AL147</f>
        <v>44590000</v>
      </c>
      <c r="AN147" s="20"/>
    </row>
    <row r="148" spans="5:44">
      <c r="G148" s="210"/>
      <c r="H148" s="210" t="s">
        <v>5606</v>
      </c>
      <c r="I148" s="213" t="s">
        <v>5763</v>
      </c>
      <c r="J148" s="1">
        <v>150000000</v>
      </c>
      <c r="P148" s="112"/>
      <c r="Q148" s="94"/>
      <c r="R148" s="94"/>
      <c r="S148" s="94"/>
      <c r="T148" s="94"/>
      <c r="V148" s="94"/>
      <c r="Y148" t="s">
        <v>25</v>
      </c>
      <c r="AH148" s="97">
        <v>128</v>
      </c>
      <c r="AI148" s="111" t="s">
        <v>4778</v>
      </c>
      <c r="AJ148" s="111">
        <v>20000</v>
      </c>
      <c r="AK148" s="97">
        <v>10</v>
      </c>
      <c r="AL148" s="20">
        <f t="shared" si="61"/>
        <v>628</v>
      </c>
      <c r="AM148" s="115">
        <f>AJ148*AL148</f>
        <v>12560000</v>
      </c>
      <c r="AN148" s="20"/>
      <c r="AP148" t="s">
        <v>25</v>
      </c>
    </row>
    <row r="149" spans="5:44">
      <c r="G149" s="1">
        <f>P45</f>
        <v>1130.9000000000001</v>
      </c>
      <c r="H149" s="210" t="s">
        <v>4220</v>
      </c>
      <c r="I149" s="210">
        <v>309254</v>
      </c>
      <c r="J149" s="1">
        <f>G149*I149</f>
        <v>349735348.60000002</v>
      </c>
      <c r="P149" s="94"/>
      <c r="Q149" s="94"/>
      <c r="R149" s="94"/>
      <c r="S149" s="94"/>
      <c r="T149" s="94" t="s">
        <v>25</v>
      </c>
      <c r="V149" s="94"/>
      <c r="AH149" s="97">
        <v>129</v>
      </c>
      <c r="AI149" s="111" t="s">
        <v>4798</v>
      </c>
      <c r="AJ149" s="111">
        <v>1000000</v>
      </c>
      <c r="AK149" s="97">
        <v>1</v>
      </c>
      <c r="AL149" s="20">
        <f t="shared" si="61"/>
        <v>618</v>
      </c>
      <c r="AM149" s="115">
        <f>AJ149*AL149</f>
        <v>618000000</v>
      </c>
      <c r="AN149" s="20"/>
    </row>
    <row r="150" spans="5:44">
      <c r="E150" s="121"/>
      <c r="G150" s="1">
        <f>P44</f>
        <v>19500</v>
      </c>
      <c r="H150" s="210" t="s">
        <v>4362</v>
      </c>
      <c r="I150" s="210">
        <v>0</v>
      </c>
      <c r="J150" s="1">
        <f>G150*I150</f>
        <v>0</v>
      </c>
      <c r="S150" s="94"/>
      <c r="T150" s="94"/>
      <c r="V150" s="94"/>
      <c r="AC150" s="112"/>
      <c r="AD150" s="112"/>
      <c r="AH150" s="97">
        <v>130</v>
      </c>
      <c r="AI150" s="111" t="s">
        <v>4799</v>
      </c>
      <c r="AJ150" s="111">
        <v>65630227</v>
      </c>
      <c r="AK150" s="97">
        <v>0</v>
      </c>
      <c r="AL150" s="20">
        <f t="shared" si="61"/>
        <v>617</v>
      </c>
      <c r="AM150" s="115">
        <f t="shared" ref="AM150:AM177" si="62">AJ150*AL150</f>
        <v>40493850059</v>
      </c>
      <c r="AN150" s="20" t="s">
        <v>4802</v>
      </c>
      <c r="AP150" t="s">
        <v>25</v>
      </c>
      <c r="AR150" t="s">
        <v>25</v>
      </c>
    </row>
    <row r="151" spans="5:44">
      <c r="G151" s="210"/>
      <c r="H151" s="210"/>
      <c r="I151" s="210"/>
      <c r="J151" s="1"/>
      <c r="Q151" s="94"/>
      <c r="R151" s="94"/>
      <c r="S151" s="94"/>
      <c r="T151" s="97" t="s">
        <v>180</v>
      </c>
      <c r="U151" s="97" t="s">
        <v>4437</v>
      </c>
      <c r="V151" s="97" t="s">
        <v>4438</v>
      </c>
      <c r="W151" s="97" t="s">
        <v>4448</v>
      </c>
      <c r="X151" s="97" t="s">
        <v>8</v>
      </c>
      <c r="Y151" t="s">
        <v>25</v>
      </c>
      <c r="AC151" s="112"/>
      <c r="AH151" s="97">
        <v>131</v>
      </c>
      <c r="AI151" s="111" t="s">
        <v>4799</v>
      </c>
      <c r="AJ151" s="111">
        <v>-3500000</v>
      </c>
      <c r="AK151" s="97">
        <v>6</v>
      </c>
      <c r="AL151" s="20">
        <f t="shared" si="61"/>
        <v>617</v>
      </c>
      <c r="AM151" s="115">
        <f t="shared" si="62"/>
        <v>-2159500000</v>
      </c>
      <c r="AN151" s="20" t="s">
        <v>4801</v>
      </c>
    </row>
    <row r="152" spans="5:44">
      <c r="G152" s="210"/>
      <c r="H152" s="111"/>
      <c r="I152" s="278">
        <f>J152-J148</f>
        <v>199735348.60000002</v>
      </c>
      <c r="J152" s="1">
        <f>SUM(J149:J150)</f>
        <v>349735348.60000002</v>
      </c>
      <c r="K152" t="s">
        <v>25</v>
      </c>
      <c r="Q152" s="94"/>
      <c r="R152" s="94"/>
      <c r="S152" s="94"/>
      <c r="T152" s="111" t="s">
        <v>4421</v>
      </c>
      <c r="U152" s="54">
        <v>1000000</v>
      </c>
      <c r="V152" s="111">
        <v>239.024</v>
      </c>
      <c r="W152" s="111">
        <f t="shared" ref="W152:W253" si="63">U152*V152</f>
        <v>239024000</v>
      </c>
      <c r="X152" s="97"/>
      <c r="AC152" s="112"/>
      <c r="AD152" s="112"/>
      <c r="AH152" s="97">
        <v>132</v>
      </c>
      <c r="AI152" s="111" t="s">
        <v>4811</v>
      </c>
      <c r="AJ152" s="111">
        <v>2520000</v>
      </c>
      <c r="AK152" s="97">
        <v>12</v>
      </c>
      <c r="AL152" s="20">
        <f t="shared" si="61"/>
        <v>611</v>
      </c>
      <c r="AM152" s="115">
        <f t="shared" si="62"/>
        <v>1539720000</v>
      </c>
      <c r="AN152" s="20"/>
    </row>
    <row r="153" spans="5:44">
      <c r="G153" s="210"/>
      <c r="H153" s="210"/>
      <c r="I153" s="210" t="s">
        <v>5468</v>
      </c>
      <c r="J153" s="210" t="s">
        <v>6</v>
      </c>
      <c r="N153" s="94"/>
      <c r="O153" s="94"/>
      <c r="P153" s="112"/>
      <c r="Q153" s="36" t="s">
        <v>4520</v>
      </c>
      <c r="R153" s="93">
        <f>SUM(N41:N47)</f>
        <v>5162777845.6000004</v>
      </c>
      <c r="T153" s="166" t="s">
        <v>4403</v>
      </c>
      <c r="U153" s="54">
        <v>5904</v>
      </c>
      <c r="V153" s="111">
        <v>237.148</v>
      </c>
      <c r="W153" s="111">
        <f t="shared" si="63"/>
        <v>1400121.7919999999</v>
      </c>
      <c r="X153" s="97" t="s">
        <v>744</v>
      </c>
      <c r="Z153" t="s">
        <v>25</v>
      </c>
      <c r="AH153" s="97">
        <v>133</v>
      </c>
      <c r="AI153" s="111" t="s">
        <v>4846</v>
      </c>
      <c r="AJ153" s="111">
        <v>1400000</v>
      </c>
      <c r="AK153" s="97">
        <v>4</v>
      </c>
      <c r="AL153" s="20">
        <f t="shared" si="61"/>
        <v>599</v>
      </c>
      <c r="AM153" s="115">
        <f t="shared" si="62"/>
        <v>838600000</v>
      </c>
      <c r="AN153" s="20"/>
    </row>
    <row r="154" spans="5:44">
      <c r="J154" s="94">
        <f>I149+O41</f>
        <v>356635</v>
      </c>
      <c r="N154" s="94"/>
      <c r="O154" s="94"/>
      <c r="P154" s="112"/>
      <c r="Q154" s="97" t="s">
        <v>4412</v>
      </c>
      <c r="R154" s="93">
        <f>SUM(N21:N23)</f>
        <v>2890422378.5</v>
      </c>
      <c r="T154" s="166" t="s">
        <v>4209</v>
      </c>
      <c r="U154" s="166">
        <v>1000</v>
      </c>
      <c r="V154" s="111">
        <v>247.393</v>
      </c>
      <c r="W154" s="111">
        <f t="shared" si="63"/>
        <v>247393</v>
      </c>
      <c r="X154" s="97" t="s">
        <v>744</v>
      </c>
      <c r="Y154" t="s">
        <v>25</v>
      </c>
      <c r="AH154" s="97">
        <v>134</v>
      </c>
      <c r="AI154" s="111" t="s">
        <v>4868</v>
      </c>
      <c r="AJ154" s="111">
        <v>1550000</v>
      </c>
      <c r="AK154" s="97">
        <v>2</v>
      </c>
      <c r="AL154" s="20">
        <f t="shared" si="61"/>
        <v>595</v>
      </c>
      <c r="AM154" s="115">
        <f t="shared" si="62"/>
        <v>922250000</v>
      </c>
      <c r="AN154" s="20"/>
    </row>
    <row r="155" spans="5:44">
      <c r="N155" s="94"/>
      <c r="O155" s="94"/>
      <c r="P155" s="112"/>
      <c r="Q155" s="97" t="s">
        <v>4413</v>
      </c>
      <c r="R155" s="93">
        <f>SUM(N26:N28)</f>
        <v>349884627.40000004</v>
      </c>
      <c r="T155" s="166" t="s">
        <v>4449</v>
      </c>
      <c r="U155" s="166">
        <v>8071</v>
      </c>
      <c r="V155" s="111">
        <v>247.797</v>
      </c>
      <c r="W155" s="111">
        <f t="shared" si="63"/>
        <v>1999969.5870000001</v>
      </c>
      <c r="X155" s="97" t="s">
        <v>4410</v>
      </c>
      <c r="Y155" t="s">
        <v>25</v>
      </c>
      <c r="AH155" s="97">
        <v>135</v>
      </c>
      <c r="AI155" s="111" t="s">
        <v>4818</v>
      </c>
      <c r="AJ155" s="111">
        <v>250000</v>
      </c>
      <c r="AK155" s="97">
        <v>6</v>
      </c>
      <c r="AL155" s="20">
        <f t="shared" si="61"/>
        <v>593</v>
      </c>
      <c r="AM155" s="115">
        <f t="shared" si="62"/>
        <v>148250000</v>
      </c>
      <c r="AN155" s="20"/>
    </row>
    <row r="156" spans="5:44">
      <c r="L156" t="s">
        <v>25</v>
      </c>
      <c r="N156" s="94"/>
      <c r="O156" s="94"/>
      <c r="P156" s="112"/>
      <c r="Q156" s="97" t="s">
        <v>4414</v>
      </c>
      <c r="R156" s="93">
        <f>N39</f>
        <v>5846</v>
      </c>
      <c r="T156" s="166" t="s">
        <v>4449</v>
      </c>
      <c r="U156" s="166">
        <v>53672</v>
      </c>
      <c r="V156" s="111">
        <v>247.797</v>
      </c>
      <c r="W156" s="111">
        <f t="shared" si="63"/>
        <v>13299760.584000001</v>
      </c>
      <c r="X156" s="97" t="s">
        <v>452</v>
      </c>
      <c r="Y156" t="s">
        <v>25</v>
      </c>
      <c r="AA156" t="s">
        <v>25</v>
      </c>
      <c r="AH156" s="97">
        <v>136</v>
      </c>
      <c r="AI156" s="111" t="s">
        <v>4877</v>
      </c>
      <c r="AJ156" s="111">
        <v>-48527480</v>
      </c>
      <c r="AK156" s="97">
        <v>14</v>
      </c>
      <c r="AL156" s="20">
        <f t="shared" si="61"/>
        <v>587</v>
      </c>
      <c r="AM156" s="115">
        <f t="shared" si="62"/>
        <v>-28485630760</v>
      </c>
      <c r="AN156" s="20" t="s">
        <v>4879</v>
      </c>
    </row>
    <row r="157" spans="5:44">
      <c r="G157" s="97"/>
      <c r="H157" s="97"/>
      <c r="I157" s="97" t="s">
        <v>5697</v>
      </c>
      <c r="J157" s="1">
        <v>-1200000</v>
      </c>
      <c r="N157" s="94"/>
      <c r="O157" s="94"/>
      <c r="P157" s="112"/>
      <c r="Q157" s="97" t="s">
        <v>4415</v>
      </c>
      <c r="R157" s="93">
        <f>N20</f>
        <v>456</v>
      </c>
      <c r="T157" s="166" t="s">
        <v>4457</v>
      </c>
      <c r="U157" s="166">
        <v>4099</v>
      </c>
      <c r="V157" s="111">
        <v>243.93</v>
      </c>
      <c r="W157" s="111">
        <f t="shared" si="63"/>
        <v>999869.07000000007</v>
      </c>
      <c r="X157" s="97" t="s">
        <v>4410</v>
      </c>
      <c r="AH157" s="97">
        <v>137</v>
      </c>
      <c r="AI157" s="111" t="s">
        <v>4900</v>
      </c>
      <c r="AJ157" s="111">
        <v>2100000</v>
      </c>
      <c r="AK157" s="97">
        <v>1</v>
      </c>
      <c r="AL157" s="20">
        <f t="shared" si="61"/>
        <v>573</v>
      </c>
      <c r="AM157" s="115">
        <f t="shared" si="62"/>
        <v>1203300000</v>
      </c>
      <c r="AN157" s="20"/>
    </row>
    <row r="158" spans="5:44">
      <c r="G158" s="97">
        <f>P45</f>
        <v>1130.9000000000001</v>
      </c>
      <c r="H158" s="97" t="s">
        <v>4220</v>
      </c>
      <c r="I158" s="97">
        <v>19848</v>
      </c>
      <c r="J158" s="1">
        <f>G158*I158</f>
        <v>22446103.200000003</v>
      </c>
      <c r="N158" s="94"/>
      <c r="O158" s="94"/>
      <c r="P158" s="112"/>
      <c r="Q158" s="97" t="s">
        <v>4416</v>
      </c>
      <c r="R158" s="93">
        <f>N25</f>
        <v>1055</v>
      </c>
      <c r="T158" s="166" t="s">
        <v>4457</v>
      </c>
      <c r="U158" s="166">
        <v>9301</v>
      </c>
      <c r="V158" s="111">
        <v>243.93</v>
      </c>
      <c r="W158" s="111">
        <f t="shared" si="63"/>
        <v>2268792.9300000002</v>
      </c>
      <c r="X158" s="97" t="s">
        <v>452</v>
      </c>
      <c r="Z158" t="s">
        <v>25</v>
      </c>
      <c r="AH158" s="97">
        <v>138</v>
      </c>
      <c r="AI158" s="111" t="s">
        <v>4903</v>
      </c>
      <c r="AJ158" s="111">
        <v>100000</v>
      </c>
      <c r="AK158" s="97">
        <v>4</v>
      </c>
      <c r="AL158" s="20">
        <f>AL159+AK158</f>
        <v>572</v>
      </c>
      <c r="AM158" s="115">
        <f t="shared" si="62"/>
        <v>57200000</v>
      </c>
      <c r="AN158" s="20"/>
    </row>
    <row r="159" spans="5:44">
      <c r="G159" s="97">
        <f>P44</f>
        <v>19500</v>
      </c>
      <c r="H159" s="97" t="s">
        <v>5861</v>
      </c>
      <c r="I159" s="97">
        <v>1150</v>
      </c>
      <c r="J159" s="1">
        <f>G159*I159</f>
        <v>22425000</v>
      </c>
      <c r="N159" s="94"/>
      <c r="O159" s="94"/>
      <c r="P159" s="112"/>
      <c r="Q159" s="97"/>
      <c r="R159" s="93"/>
      <c r="S159" t="s">
        <v>25</v>
      </c>
      <c r="T159" s="166" t="s">
        <v>4462</v>
      </c>
      <c r="U159" s="166">
        <v>8334</v>
      </c>
      <c r="V159" s="111">
        <v>239.97</v>
      </c>
      <c r="W159" s="111">
        <f t="shared" si="63"/>
        <v>1999909.98</v>
      </c>
      <c r="X159" s="97" t="s">
        <v>4410</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5080</v>
      </c>
      <c r="R160" s="93">
        <v>0</v>
      </c>
      <c r="T160" s="166" t="s">
        <v>4208</v>
      </c>
      <c r="U160" s="166">
        <v>29041</v>
      </c>
      <c r="V160" s="111">
        <v>233.45</v>
      </c>
      <c r="W160" s="111">
        <f t="shared" si="63"/>
        <v>6779621.4499999993</v>
      </c>
      <c r="X160" s="97" t="s">
        <v>744</v>
      </c>
      <c r="Y160" s="120" t="s">
        <v>25</v>
      </c>
      <c r="AH160" s="97">
        <v>140</v>
      </c>
      <c r="AI160" s="111" t="s">
        <v>4908</v>
      </c>
      <c r="AJ160" s="111">
        <v>1100000</v>
      </c>
      <c r="AK160" s="97">
        <v>0</v>
      </c>
      <c r="AL160" s="20">
        <f t="shared" si="64"/>
        <v>568</v>
      </c>
      <c r="AM160" s="115">
        <f t="shared" si="65"/>
        <v>624800000</v>
      </c>
      <c r="AN160" s="20" t="s">
        <v>4922</v>
      </c>
      <c r="AQ160" t="s">
        <v>25</v>
      </c>
    </row>
    <row r="161" spans="7:43">
      <c r="G161" s="97">
        <v>1</v>
      </c>
      <c r="H161" s="97" t="s">
        <v>5541</v>
      </c>
      <c r="I161" s="97">
        <v>0</v>
      </c>
      <c r="J161" s="1">
        <f>I161</f>
        <v>0</v>
      </c>
      <c r="K161" s="112"/>
      <c r="L161" s="94"/>
      <c r="P161" s="112"/>
      <c r="Q161" s="97" t="s">
        <v>5813</v>
      </c>
      <c r="R161" s="93">
        <v>-1563</v>
      </c>
      <c r="S161" s="94"/>
      <c r="T161" s="166" t="s">
        <v>979</v>
      </c>
      <c r="U161" s="166">
        <v>12337</v>
      </c>
      <c r="V161" s="111">
        <v>243.16300000000001</v>
      </c>
      <c r="W161" s="111">
        <f t="shared" si="63"/>
        <v>2999901.9310000003</v>
      </c>
      <c r="X161" s="97" t="s">
        <v>4410</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46071103.200000003</v>
      </c>
      <c r="J162" s="1"/>
      <c r="K162" s="94"/>
      <c r="L162" s="94"/>
      <c r="N162" s="112"/>
      <c r="O162" s="112"/>
      <c r="P162" s="112"/>
      <c r="Q162" s="97"/>
      <c r="R162" s="93"/>
      <c r="S162" s="94"/>
      <c r="T162" s="166" t="s">
        <v>4538</v>
      </c>
      <c r="U162" s="166">
        <v>-16118</v>
      </c>
      <c r="V162" s="111">
        <v>248.17</v>
      </c>
      <c r="W162" s="111">
        <f t="shared" si="63"/>
        <v>-4000004.0599999996</v>
      </c>
      <c r="X162" s="97" t="s">
        <v>744</v>
      </c>
      <c r="Y162" t="s">
        <v>25</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t="s">
        <v>5856</v>
      </c>
      <c r="R163" s="93">
        <f>439*P44</f>
        <v>8560500</v>
      </c>
      <c r="T163" s="166" t="s">
        <v>4560</v>
      </c>
      <c r="U163" s="166">
        <v>101681</v>
      </c>
      <c r="V163" s="111">
        <v>246.5711</v>
      </c>
      <c r="W163" s="111">
        <f t="shared" si="63"/>
        <v>25071596.019099999</v>
      </c>
      <c r="X163" s="97" t="s">
        <v>452</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c r="Q164" s="97" t="s">
        <v>5857</v>
      </c>
      <c r="R164" s="93">
        <f>711*P44</f>
        <v>13864500</v>
      </c>
      <c r="S164" s="94"/>
      <c r="T164" s="166" t="s">
        <v>4564</v>
      </c>
      <c r="U164" s="166">
        <v>66606</v>
      </c>
      <c r="V164" s="111">
        <v>251.131</v>
      </c>
      <c r="W164" s="111">
        <f t="shared" si="63"/>
        <v>16726831.386</v>
      </c>
      <c r="X164" s="97" t="s">
        <v>744</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7" t="s">
        <v>5858</v>
      </c>
      <c r="R165" s="97">
        <f>-8020*P45</f>
        <v>-9069818</v>
      </c>
      <c r="S165" s="113" t="s">
        <v>25</v>
      </c>
      <c r="T165" s="166" t="s">
        <v>4569</v>
      </c>
      <c r="U165" s="166">
        <v>172025</v>
      </c>
      <c r="V165" s="111">
        <v>245.52809999999999</v>
      </c>
      <c r="W165" s="111">
        <f t="shared" si="63"/>
        <v>42236971.402499996</v>
      </c>
      <c r="X165" s="97" t="s">
        <v>452</v>
      </c>
      <c r="AH165" s="97">
        <v>145</v>
      </c>
      <c r="AI165" s="111" t="s">
        <v>4920</v>
      </c>
      <c r="AJ165" s="111">
        <v>360000</v>
      </c>
      <c r="AK165" s="97">
        <v>1</v>
      </c>
      <c r="AL165" s="20">
        <f t="shared" si="64"/>
        <v>567</v>
      </c>
      <c r="AM165" s="115">
        <f t="shared" si="65"/>
        <v>204120000</v>
      </c>
      <c r="AN165" s="20"/>
    </row>
    <row r="166" spans="7:43">
      <c r="G166" s="32">
        <f>O21+O28+O45+I149</f>
        <v>7542208</v>
      </c>
      <c r="H166" s="32" t="s">
        <v>5492</v>
      </c>
      <c r="I166" s="32">
        <f>O22+O26+O44+I150+O41</f>
        <v>47381</v>
      </c>
      <c r="J166" s="112"/>
      <c r="K166" s="94"/>
      <c r="L166" s="94"/>
      <c r="M166" s="94"/>
      <c r="O166" s="112"/>
      <c r="P166" s="112"/>
      <c r="Q166" s="97" t="s">
        <v>5081</v>
      </c>
      <c r="R166" s="93">
        <v>0</v>
      </c>
      <c r="S166" s="120" t="s">
        <v>25</v>
      </c>
      <c r="T166" s="166" t="s">
        <v>4569</v>
      </c>
      <c r="U166" s="166">
        <v>189227</v>
      </c>
      <c r="V166" s="111">
        <v>245.52809999999999</v>
      </c>
      <c r="W166" s="111">
        <f t="shared" si="63"/>
        <v>46460545.778700002</v>
      </c>
      <c r="X166" s="97" t="s">
        <v>744</v>
      </c>
      <c r="AH166" s="97">
        <v>146</v>
      </c>
      <c r="AI166" s="111" t="s">
        <v>4921</v>
      </c>
      <c r="AJ166" s="111">
        <v>3000000</v>
      </c>
      <c r="AK166" s="97">
        <v>1</v>
      </c>
      <c r="AL166" s="20">
        <f t="shared" si="64"/>
        <v>566</v>
      </c>
      <c r="AM166" s="115">
        <f t="shared" si="65"/>
        <v>1698000000</v>
      </c>
      <c r="AN166" s="20"/>
    </row>
    <row r="167" spans="7:43">
      <c r="G167" s="32">
        <f>(J150+N27+N22+N23+N26+N43+N44+N41)/P45</f>
        <v>197486.22592625342</v>
      </c>
      <c r="H167" s="294" t="s">
        <v>5493</v>
      </c>
      <c r="I167" s="32">
        <f>(J149+N27+N45+N43+N28+N23+N21)/P44</f>
        <v>446114.71934358979</v>
      </c>
      <c r="J167" s="112"/>
      <c r="K167" s="94"/>
      <c r="L167" s="94" t="s">
        <v>25</v>
      </c>
      <c r="M167" s="94"/>
      <c r="O167" s="112"/>
      <c r="P167" s="112"/>
      <c r="Q167" s="97"/>
      <c r="R167" s="93"/>
      <c r="S167" s="113"/>
      <c r="T167" s="166" t="s">
        <v>4570</v>
      </c>
      <c r="U167" s="166">
        <v>79720</v>
      </c>
      <c r="V167" s="111">
        <v>246.6568</v>
      </c>
      <c r="W167" s="111">
        <f t="shared" si="63"/>
        <v>19663480.096000001</v>
      </c>
      <c r="X167" s="97" t="s">
        <v>452</v>
      </c>
      <c r="Y167" s="8" t="s">
        <v>25</v>
      </c>
      <c r="Z167" t="s">
        <v>25</v>
      </c>
      <c r="AH167" s="97">
        <v>147</v>
      </c>
      <c r="AI167" s="111" t="s">
        <v>4919</v>
      </c>
      <c r="AJ167" s="111">
        <v>-658226</v>
      </c>
      <c r="AK167" s="97">
        <v>1</v>
      </c>
      <c r="AL167" s="20">
        <f t="shared" si="64"/>
        <v>565</v>
      </c>
      <c r="AM167" s="115">
        <f t="shared" si="65"/>
        <v>-371897690</v>
      </c>
      <c r="AN167" s="20"/>
    </row>
    <row r="168" spans="7:43">
      <c r="G168" s="32">
        <f>G166+G167</f>
        <v>7739694.225926253</v>
      </c>
      <c r="H168" s="32" t="s">
        <v>5494</v>
      </c>
      <c r="I168" s="32">
        <f>I166+I167</f>
        <v>493495.71934358979</v>
      </c>
      <c r="J168" s="112"/>
      <c r="K168" s="94"/>
      <c r="L168" s="94"/>
      <c r="P168" s="112"/>
      <c r="Q168" s="97"/>
      <c r="R168" s="93"/>
      <c r="S168" s="113"/>
      <c r="T168" s="166" t="s">
        <v>4570</v>
      </c>
      <c r="U168" s="166">
        <v>79720</v>
      </c>
      <c r="V168" s="111">
        <v>246.6568</v>
      </c>
      <c r="W168" s="111">
        <f t="shared" si="63"/>
        <v>19663480.096000001</v>
      </c>
      <c r="X168" s="97" t="s">
        <v>744</v>
      </c>
      <c r="AH168" s="97">
        <v>148</v>
      </c>
      <c r="AI168" s="111" t="s">
        <v>4924</v>
      </c>
      <c r="AJ168" s="111">
        <v>1000000</v>
      </c>
      <c r="AK168" s="97">
        <v>15</v>
      </c>
      <c r="AL168" s="20">
        <f t="shared" si="64"/>
        <v>564</v>
      </c>
      <c r="AM168" s="115">
        <f t="shared" si="65"/>
        <v>564000000</v>
      </c>
      <c r="AN168" s="20"/>
      <c r="AP168" t="s">
        <v>25</v>
      </c>
    </row>
    <row r="169" spans="7:43">
      <c r="G169" s="32">
        <f>(W139+W140)/P45</f>
        <v>353860.1929723667</v>
      </c>
      <c r="H169" s="32" t="s">
        <v>5469</v>
      </c>
      <c r="I169" s="32">
        <f>(W139+W140)/P44</f>
        <v>20522.076524741002</v>
      </c>
      <c r="J169" s="112"/>
      <c r="K169" s="94"/>
      <c r="L169" s="94"/>
      <c r="M169" s="94"/>
      <c r="P169" s="112"/>
      <c r="Q169" s="97" t="s">
        <v>4420</v>
      </c>
      <c r="R169" s="93">
        <f>SUM(R153:R168)</f>
        <v>8416445827.5</v>
      </c>
      <c r="T169" s="166" t="s">
        <v>4593</v>
      </c>
      <c r="U169" s="166">
        <v>17769</v>
      </c>
      <c r="V169" s="111">
        <v>246.17877999999999</v>
      </c>
      <c r="W169" s="111">
        <f t="shared" si="63"/>
        <v>4374350.7418200001</v>
      </c>
      <c r="X169" s="97" t="s">
        <v>744</v>
      </c>
      <c r="AH169" s="97">
        <v>149</v>
      </c>
      <c r="AI169" s="111" t="s">
        <v>4952</v>
      </c>
      <c r="AJ169" s="111">
        <v>1130250</v>
      </c>
      <c r="AK169" s="97">
        <v>5</v>
      </c>
      <c r="AL169" s="20">
        <f t="shared" si="61"/>
        <v>549</v>
      </c>
      <c r="AM169" s="115">
        <f t="shared" si="62"/>
        <v>620507250</v>
      </c>
      <c r="AN169" s="20"/>
    </row>
    <row r="170" spans="7:43">
      <c r="G170" s="32">
        <f>W137/P45</f>
        <v>2536795.0320518995</v>
      </c>
      <c r="H170" s="32" t="s">
        <v>481</v>
      </c>
      <c r="I170" s="32">
        <f>W137/P44</f>
        <v>147121.10265371759</v>
      </c>
      <c r="J170" s="112"/>
      <c r="K170" s="94"/>
      <c r="L170" s="94"/>
      <c r="P170" s="112"/>
      <c r="Q170" s="94"/>
      <c r="T170" s="166" t="s">
        <v>4593</v>
      </c>
      <c r="U170" s="166">
        <v>17769</v>
      </c>
      <c r="V170" s="111">
        <v>246.17877999999999</v>
      </c>
      <c r="W170" s="111">
        <f t="shared" si="63"/>
        <v>4374350.7418200001</v>
      </c>
      <c r="X170" s="97" t="s">
        <v>452</v>
      </c>
      <c r="AE170" s="94" t="s">
        <v>25</v>
      </c>
      <c r="AH170" s="97">
        <v>150</v>
      </c>
      <c r="AI170" s="111" t="s">
        <v>4960</v>
      </c>
      <c r="AJ170" s="111">
        <v>206000</v>
      </c>
      <c r="AK170" s="97">
        <v>2</v>
      </c>
      <c r="AL170" s="20">
        <f t="shared" si="61"/>
        <v>544</v>
      </c>
      <c r="AM170" s="115">
        <f t="shared" si="62"/>
        <v>112064000</v>
      </c>
      <c r="AN170" s="20"/>
    </row>
    <row r="171" spans="7:43">
      <c r="G171" s="32">
        <f>G168-G169-G170</f>
        <v>4849039.0009019868</v>
      </c>
      <c r="H171" s="32" t="s">
        <v>5</v>
      </c>
      <c r="I171" s="32">
        <f>I168-I169-I170</f>
        <v>325852.54016513121</v>
      </c>
      <c r="J171" s="112"/>
      <c r="K171" s="94"/>
      <c r="L171" s="94"/>
      <c r="M171" t="s">
        <v>25</v>
      </c>
      <c r="P171" s="112"/>
      <c r="T171" s="166" t="s">
        <v>4595</v>
      </c>
      <c r="U171" s="166">
        <v>12438</v>
      </c>
      <c r="V171" s="111">
        <v>241.20465999999999</v>
      </c>
      <c r="W171" s="111">
        <f t="shared" si="63"/>
        <v>3000103.5610799999</v>
      </c>
      <c r="X171" s="97" t="s">
        <v>4410</v>
      </c>
      <c r="AH171" s="97">
        <v>151</v>
      </c>
      <c r="AI171" s="111" t="s">
        <v>4967</v>
      </c>
      <c r="AJ171" s="111">
        <v>50000</v>
      </c>
      <c r="AK171" s="97">
        <v>2</v>
      </c>
      <c r="AL171" s="20">
        <f t="shared" si="61"/>
        <v>542</v>
      </c>
      <c r="AM171" s="115">
        <f t="shared" si="62"/>
        <v>27100000</v>
      </c>
      <c r="AN171" s="20"/>
    </row>
    <row r="172" spans="7:43">
      <c r="P172" s="112"/>
      <c r="Q172" s="210" t="s">
        <v>8</v>
      </c>
      <c r="R172" s="210" t="s">
        <v>4410</v>
      </c>
      <c r="S172" s="210"/>
      <c r="T172" s="166" t="s">
        <v>4604</v>
      </c>
      <c r="U172" s="166">
        <v>27363</v>
      </c>
      <c r="V172" s="111">
        <v>239.3886</v>
      </c>
      <c r="W172" s="111">
        <f t="shared" si="63"/>
        <v>6550390.2617999995</v>
      </c>
      <c r="X172" s="97" t="s">
        <v>744</v>
      </c>
      <c r="AH172" s="97">
        <v>152</v>
      </c>
      <c r="AI172" s="111" t="s">
        <v>4971</v>
      </c>
      <c r="AJ172" s="111">
        <v>105000</v>
      </c>
      <c r="AK172" s="97">
        <v>4</v>
      </c>
      <c r="AL172" s="20">
        <f t="shared" si="61"/>
        <v>540</v>
      </c>
      <c r="AM172" s="115">
        <f t="shared" si="62"/>
        <v>56700000</v>
      </c>
      <c r="AN172" s="20"/>
    </row>
    <row r="173" spans="7:43">
      <c r="P173" s="112"/>
      <c r="Q173" s="210"/>
      <c r="R173" s="71" t="s">
        <v>180</v>
      </c>
      <c r="S173" s="210" t="s">
        <v>267</v>
      </c>
      <c r="T173" s="166" t="s">
        <v>4604</v>
      </c>
      <c r="U173" s="166">
        <v>27363</v>
      </c>
      <c r="V173" s="111">
        <v>239.3886</v>
      </c>
      <c r="W173" s="111">
        <f t="shared" si="63"/>
        <v>6550390.2617999995</v>
      </c>
      <c r="X173" s="97" t="s">
        <v>452</v>
      </c>
      <c r="AH173" s="97">
        <v>153</v>
      </c>
      <c r="AI173" s="111" t="s">
        <v>4975</v>
      </c>
      <c r="AJ173" s="111">
        <v>5000000</v>
      </c>
      <c r="AK173" s="97">
        <v>1</v>
      </c>
      <c r="AL173" s="20">
        <f t="shared" si="61"/>
        <v>536</v>
      </c>
      <c r="AM173" s="115">
        <f t="shared" si="62"/>
        <v>2680000000</v>
      </c>
      <c r="AN173" s="20"/>
    </row>
    <row r="174" spans="7:43">
      <c r="K174" s="94"/>
      <c r="L174" s="94"/>
      <c r="P174" s="112"/>
      <c r="Q174" s="210"/>
      <c r="R174" s="210" t="s">
        <v>4403</v>
      </c>
      <c r="S174" s="111">
        <v>3000000</v>
      </c>
      <c r="T174" s="207" t="s">
        <v>4606</v>
      </c>
      <c r="U174" s="207">
        <v>27437</v>
      </c>
      <c r="V174" s="111">
        <v>242.4015</v>
      </c>
      <c r="W174" s="111">
        <f t="shared" si="63"/>
        <v>6650769.9555000002</v>
      </c>
      <c r="X174" s="97" t="s">
        <v>744</v>
      </c>
      <c r="AH174" s="97">
        <v>154</v>
      </c>
      <c r="AI174" s="111" t="s">
        <v>4976</v>
      </c>
      <c r="AJ174" s="111">
        <v>2500000</v>
      </c>
      <c r="AK174" s="97">
        <v>2</v>
      </c>
      <c r="AL174" s="20">
        <f t="shared" si="61"/>
        <v>535</v>
      </c>
      <c r="AM174" s="115">
        <f t="shared" si="62"/>
        <v>1337500000</v>
      </c>
      <c r="AN174" s="20"/>
    </row>
    <row r="175" spans="7:43">
      <c r="P175" s="112"/>
      <c r="Q175" s="210"/>
      <c r="R175" s="210" t="s">
        <v>4449</v>
      </c>
      <c r="S175" s="111">
        <v>2000000</v>
      </c>
      <c r="T175" s="207" t="s">
        <v>4606</v>
      </c>
      <c r="U175" s="207">
        <v>29104</v>
      </c>
      <c r="V175" s="111">
        <v>242.4015</v>
      </c>
      <c r="W175" s="111">
        <f t="shared" si="63"/>
        <v>7054853.2560000001</v>
      </c>
      <c r="X175" s="97" t="s">
        <v>452</v>
      </c>
      <c r="AH175" s="261">
        <v>155</v>
      </c>
      <c r="AI175" s="257" t="s">
        <v>4982</v>
      </c>
      <c r="AJ175" s="257">
        <v>-50000000</v>
      </c>
      <c r="AK175" s="261">
        <v>7</v>
      </c>
      <c r="AL175" s="261">
        <f t="shared" si="61"/>
        <v>533</v>
      </c>
      <c r="AM175" s="257">
        <f t="shared" si="62"/>
        <v>-26650000000</v>
      </c>
      <c r="AN175" s="261" t="s">
        <v>4990</v>
      </c>
    </row>
    <row r="176" spans="7:43">
      <c r="G176" s="32" t="s">
        <v>180</v>
      </c>
      <c r="H176" s="32" t="s">
        <v>5495</v>
      </c>
      <c r="I176" s="210" t="s">
        <v>5496</v>
      </c>
      <c r="J176" s="210" t="s">
        <v>5497</v>
      </c>
      <c r="K176" s="32" t="s">
        <v>5498</v>
      </c>
      <c r="L176" s="97" t="s">
        <v>5512</v>
      </c>
      <c r="M176" s="97" t="s">
        <v>5513</v>
      </c>
      <c r="P176" s="112"/>
      <c r="Q176" s="210"/>
      <c r="R176" s="210" t="s">
        <v>4457</v>
      </c>
      <c r="S176" s="111">
        <v>1000000</v>
      </c>
      <c r="T176" s="210" t="s">
        <v>4623</v>
      </c>
      <c r="U176" s="210">
        <v>8991</v>
      </c>
      <c r="V176" s="111">
        <v>238.64867000000001</v>
      </c>
      <c r="W176" s="111">
        <f t="shared" si="63"/>
        <v>2145690.19197</v>
      </c>
      <c r="X176" s="97" t="s">
        <v>744</v>
      </c>
      <c r="AH176" s="97">
        <v>156</v>
      </c>
      <c r="AI176" s="111" t="s">
        <v>4988</v>
      </c>
      <c r="AJ176" s="111">
        <v>10000000</v>
      </c>
      <c r="AK176" s="97">
        <v>12</v>
      </c>
      <c r="AL176" s="20">
        <f t="shared" si="61"/>
        <v>526</v>
      </c>
      <c r="AM176" s="115">
        <f t="shared" si="62"/>
        <v>5260000000</v>
      </c>
      <c r="AN176" s="20" t="s">
        <v>4689</v>
      </c>
    </row>
    <row r="177" spans="5:43">
      <c r="G177" s="32" t="s">
        <v>5483</v>
      </c>
      <c r="H177" s="32">
        <v>3256760</v>
      </c>
      <c r="I177" s="210">
        <v>245992</v>
      </c>
      <c r="J177" s="210">
        <v>2544443</v>
      </c>
      <c r="K177" s="32">
        <v>192693</v>
      </c>
      <c r="L177" s="97">
        <f t="shared" ref="L177:L185" si="66">H177+J177</f>
        <v>5801203</v>
      </c>
      <c r="M177" s="97">
        <f t="shared" ref="M177:M185" si="67">I177+K177</f>
        <v>438685</v>
      </c>
      <c r="P177" s="112"/>
      <c r="Q177" s="210"/>
      <c r="R177" s="210" t="s">
        <v>4462</v>
      </c>
      <c r="S177" s="111">
        <v>2000000</v>
      </c>
      <c r="T177" s="210" t="s">
        <v>4623</v>
      </c>
      <c r="U177" s="210">
        <v>8991</v>
      </c>
      <c r="V177" s="111">
        <v>238.64867000000001</v>
      </c>
      <c r="W177" s="111">
        <f t="shared" si="63"/>
        <v>2145690.19197</v>
      </c>
      <c r="X177" s="97" t="s">
        <v>452</v>
      </c>
      <c r="AH177" s="97">
        <v>157</v>
      </c>
      <c r="AI177" s="111" t="s">
        <v>4995</v>
      </c>
      <c r="AJ177" s="111">
        <v>-16266000</v>
      </c>
      <c r="AK177" s="97">
        <v>1</v>
      </c>
      <c r="AL177" s="20">
        <f t="shared" si="61"/>
        <v>514</v>
      </c>
      <c r="AM177" s="115">
        <f t="shared" si="62"/>
        <v>-8360724000</v>
      </c>
      <c r="AN177" s="20" t="s">
        <v>5003</v>
      </c>
      <c r="AQ177" t="s">
        <v>25</v>
      </c>
    </row>
    <row r="178" spans="5:43">
      <c r="G178" s="32" t="s">
        <v>5499</v>
      </c>
      <c r="H178" s="32">
        <v>3245022</v>
      </c>
      <c r="I178" s="210">
        <v>249261</v>
      </c>
      <c r="J178" s="210">
        <v>2532877</v>
      </c>
      <c r="K178" s="32">
        <v>195062</v>
      </c>
      <c r="L178" s="97">
        <f t="shared" si="66"/>
        <v>5777899</v>
      </c>
      <c r="M178" s="97">
        <f t="shared" si="67"/>
        <v>444323</v>
      </c>
      <c r="P178" s="112"/>
      <c r="Q178" s="210"/>
      <c r="R178" s="210" t="s">
        <v>979</v>
      </c>
      <c r="S178" s="111">
        <v>3000000</v>
      </c>
      <c r="T178" s="210" t="s">
        <v>4634</v>
      </c>
      <c r="U178" s="210">
        <v>18170</v>
      </c>
      <c r="V178" s="111">
        <v>240.48475999999999</v>
      </c>
      <c r="W178" s="111">
        <f t="shared" si="63"/>
        <v>4369608.0892000003</v>
      </c>
      <c r="X178" s="97" t="s">
        <v>744</v>
      </c>
      <c r="AH178" s="97">
        <v>158</v>
      </c>
      <c r="AI178" s="111" t="s">
        <v>5004</v>
      </c>
      <c r="AJ178" s="111">
        <v>1000000</v>
      </c>
      <c r="AK178" s="97">
        <v>6</v>
      </c>
      <c r="AL178" s="20">
        <f>AL179+AK178</f>
        <v>513</v>
      </c>
      <c r="AM178" s="115">
        <f>AJ178*AL178</f>
        <v>513000000</v>
      </c>
      <c r="AN178" s="20"/>
    </row>
    <row r="179" spans="5:43">
      <c r="G179" s="32" t="s">
        <v>5500</v>
      </c>
      <c r="H179" s="32"/>
      <c r="I179" s="210"/>
      <c r="J179" s="210"/>
      <c r="K179" s="32"/>
      <c r="L179" s="97">
        <f t="shared" si="66"/>
        <v>0</v>
      </c>
      <c r="M179" s="97">
        <f t="shared" si="67"/>
        <v>0</v>
      </c>
      <c r="O179" s="94"/>
      <c r="P179" s="112"/>
      <c r="Q179" s="210"/>
      <c r="R179" s="210" t="s">
        <v>4595</v>
      </c>
      <c r="S179" s="111">
        <v>3000000</v>
      </c>
      <c r="T179" s="210" t="s">
        <v>4634</v>
      </c>
      <c r="U179" s="210">
        <v>18170</v>
      </c>
      <c r="V179" s="111">
        <v>240.48475999999999</v>
      </c>
      <c r="W179" s="111">
        <f t="shared" si="63"/>
        <v>4369608.0892000003</v>
      </c>
      <c r="X179" s="97" t="s">
        <v>452</v>
      </c>
      <c r="AH179" s="97">
        <v>159</v>
      </c>
      <c r="AI179" s="111" t="s">
        <v>5012</v>
      </c>
      <c r="AJ179" s="111">
        <v>40000</v>
      </c>
      <c r="AK179" s="97">
        <v>5</v>
      </c>
      <c r="AL179" s="20">
        <f>AL180+AK179</f>
        <v>507</v>
      </c>
      <c r="AM179" s="115">
        <f>AJ179*AL179</f>
        <v>20280000</v>
      </c>
      <c r="AN179" s="20"/>
    </row>
    <row r="180" spans="5:43">
      <c r="G180" s="32" t="s">
        <v>5501</v>
      </c>
      <c r="H180" s="32"/>
      <c r="I180" s="210"/>
      <c r="J180" s="210"/>
      <c r="K180" s="32"/>
      <c r="L180" s="97">
        <f t="shared" si="66"/>
        <v>0</v>
      </c>
      <c r="M180" s="97">
        <f t="shared" si="67"/>
        <v>0</v>
      </c>
      <c r="O180" t="s">
        <v>25</v>
      </c>
      <c r="P180" s="112"/>
      <c r="Q180" s="210" t="s">
        <v>4767</v>
      </c>
      <c r="R180" s="210" t="s">
        <v>4762</v>
      </c>
      <c r="S180" s="111">
        <v>-800000</v>
      </c>
      <c r="T180" s="210" t="s">
        <v>4636</v>
      </c>
      <c r="U180" s="210">
        <v>36797</v>
      </c>
      <c r="V180" s="111">
        <v>239.0822</v>
      </c>
      <c r="W180" s="111">
        <f t="shared" si="63"/>
        <v>8797507.7134000007</v>
      </c>
      <c r="X180" s="97" t="s">
        <v>744</v>
      </c>
      <c r="AH180" s="97">
        <v>160</v>
      </c>
      <c r="AI180" s="111" t="s">
        <v>5021</v>
      </c>
      <c r="AJ180" s="111">
        <v>120000</v>
      </c>
      <c r="AK180" s="97">
        <v>6</v>
      </c>
      <c r="AL180" s="20">
        <f>AL181+AK180</f>
        <v>502</v>
      </c>
      <c r="AM180" s="115">
        <f>AJ180*AL180</f>
        <v>60240000</v>
      </c>
      <c r="AN180" s="20"/>
    </row>
    <row r="181" spans="5:43">
      <c r="G181" s="32" t="s">
        <v>5522</v>
      </c>
      <c r="H181" s="32">
        <v>3270584</v>
      </c>
      <c r="I181" s="210">
        <v>250916</v>
      </c>
      <c r="J181" s="210">
        <v>2496979</v>
      </c>
      <c r="K181" s="32">
        <v>203160</v>
      </c>
      <c r="L181" s="97">
        <f t="shared" si="66"/>
        <v>5767563</v>
      </c>
      <c r="M181" s="97">
        <f t="shared" si="67"/>
        <v>454076</v>
      </c>
      <c r="P181" s="112"/>
      <c r="Q181" s="210" t="s">
        <v>4768</v>
      </c>
      <c r="R181" s="210" t="s">
        <v>4762</v>
      </c>
      <c r="S181" s="111">
        <v>-900000</v>
      </c>
      <c r="T181" s="210" t="s">
        <v>4636</v>
      </c>
      <c r="U181" s="210">
        <v>36797</v>
      </c>
      <c r="V181" s="111">
        <v>239.0822</v>
      </c>
      <c r="W181" s="111">
        <f t="shared" si="63"/>
        <v>8797507.7134000007</v>
      </c>
      <c r="X181" s="97" t="s">
        <v>452</v>
      </c>
      <c r="Z181" t="s">
        <v>25</v>
      </c>
      <c r="AH181" s="97">
        <v>161</v>
      </c>
      <c r="AI181" s="111" t="s">
        <v>5017</v>
      </c>
      <c r="AJ181" s="111">
        <v>249000</v>
      </c>
      <c r="AK181" s="97">
        <v>9</v>
      </c>
      <c r="AL181" s="20">
        <f>AL182+AK181</f>
        <v>496</v>
      </c>
      <c r="AM181" s="115">
        <f>AJ181*AL181</f>
        <v>123504000</v>
      </c>
      <c r="AN181" s="20"/>
    </row>
    <row r="182" spans="5:43">
      <c r="E182" t="s">
        <v>25</v>
      </c>
      <c r="G182" s="32" t="s">
        <v>5523</v>
      </c>
      <c r="H182" s="32">
        <v>3225584</v>
      </c>
      <c r="I182" s="210">
        <v>260042</v>
      </c>
      <c r="J182" s="210">
        <v>2466124</v>
      </c>
      <c r="K182" s="32">
        <v>210439</v>
      </c>
      <c r="L182" s="97">
        <f t="shared" si="66"/>
        <v>5691708</v>
      </c>
      <c r="M182" s="97">
        <f t="shared" si="67"/>
        <v>470481</v>
      </c>
      <c r="O182" t="s">
        <v>25</v>
      </c>
      <c r="P182" s="112"/>
      <c r="Q182" s="210" t="s">
        <v>4768</v>
      </c>
      <c r="R182" s="210" t="s">
        <v>966</v>
      </c>
      <c r="S182" s="111">
        <v>-1100000</v>
      </c>
      <c r="T182" s="210" t="s">
        <v>4645</v>
      </c>
      <c r="U182" s="210">
        <v>28066</v>
      </c>
      <c r="V182" s="111">
        <v>237.56970000000001</v>
      </c>
      <c r="W182" s="111">
        <f t="shared" si="63"/>
        <v>6667631.2002000008</v>
      </c>
      <c r="X182" s="97" t="s">
        <v>744</v>
      </c>
      <c r="AH182" s="97">
        <v>162</v>
      </c>
      <c r="AI182" s="111" t="s">
        <v>5043</v>
      </c>
      <c r="AJ182" s="111">
        <v>65000</v>
      </c>
      <c r="AK182" s="97">
        <v>7</v>
      </c>
      <c r="AL182" s="20">
        <f>AL183+AK182</f>
        <v>487</v>
      </c>
      <c r="AM182" s="115">
        <f>AJ182*AL182</f>
        <v>31655000</v>
      </c>
      <c r="AN182" s="20"/>
    </row>
    <row r="183" spans="5:43">
      <c r="G183" s="32" t="s">
        <v>5524</v>
      </c>
      <c r="H183" s="32">
        <v>3271778</v>
      </c>
      <c r="I183" s="210">
        <v>282233</v>
      </c>
      <c r="J183" s="210">
        <v>2458563</v>
      </c>
      <c r="K183" s="32">
        <v>212082</v>
      </c>
      <c r="L183" s="97">
        <f t="shared" si="66"/>
        <v>5730341</v>
      </c>
      <c r="M183" s="97">
        <f t="shared" si="67"/>
        <v>494315</v>
      </c>
      <c r="P183" s="112"/>
      <c r="Q183" s="188" t="s">
        <v>1071</v>
      </c>
      <c r="R183" s="188" t="s">
        <v>4791</v>
      </c>
      <c r="S183" s="194">
        <v>30000000</v>
      </c>
      <c r="T183" s="210" t="s">
        <v>4645</v>
      </c>
      <c r="U183" s="210">
        <v>28066</v>
      </c>
      <c r="V183" s="111">
        <v>237.56970000000001</v>
      </c>
      <c r="W183" s="111">
        <f t="shared" si="63"/>
        <v>6667631.2002000008</v>
      </c>
      <c r="X183" s="97" t="s">
        <v>452</v>
      </c>
      <c r="Y183" t="s">
        <v>25</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5531</v>
      </c>
      <c r="H184" s="32">
        <v>3298939</v>
      </c>
      <c r="I184" s="210">
        <v>281309</v>
      </c>
      <c r="J184" s="210">
        <v>2465538</v>
      </c>
      <c r="K184" s="32">
        <v>210242</v>
      </c>
      <c r="L184" s="97">
        <f t="shared" si="66"/>
        <v>5764477</v>
      </c>
      <c r="M184" s="97">
        <f t="shared" si="67"/>
        <v>491551</v>
      </c>
      <c r="P184" s="112"/>
      <c r="Q184" s="19" t="s">
        <v>4872</v>
      </c>
      <c r="R184" s="19" t="s">
        <v>4870</v>
      </c>
      <c r="S184" s="115">
        <v>2000000</v>
      </c>
      <c r="T184" s="210" t="s">
        <v>3668</v>
      </c>
      <c r="U184" s="210">
        <v>37457</v>
      </c>
      <c r="V184" s="111">
        <v>239.77</v>
      </c>
      <c r="W184" s="111">
        <f t="shared" si="63"/>
        <v>8981064.8900000006</v>
      </c>
      <c r="X184" s="97" t="s">
        <v>744</v>
      </c>
      <c r="AB184" t="s">
        <v>25</v>
      </c>
      <c r="AH184" s="97">
        <v>164</v>
      </c>
      <c r="AI184" s="111" t="s">
        <v>5053</v>
      </c>
      <c r="AJ184" s="111">
        <v>50000</v>
      </c>
      <c r="AK184" s="97">
        <v>6</v>
      </c>
      <c r="AL184" s="20">
        <f t="shared" si="68"/>
        <v>480</v>
      </c>
      <c r="AM184" s="115">
        <f t="shared" si="69"/>
        <v>24000000</v>
      </c>
      <c r="AN184" s="20"/>
    </row>
    <row r="185" spans="5:43">
      <c r="G185" s="32" t="s">
        <v>5535</v>
      </c>
      <c r="H185" s="32">
        <v>3453903</v>
      </c>
      <c r="I185" s="210">
        <v>259725</v>
      </c>
      <c r="J185" s="210">
        <v>2541096</v>
      </c>
      <c r="K185" s="32">
        <v>191084</v>
      </c>
      <c r="L185" s="97">
        <f t="shared" si="66"/>
        <v>5994999</v>
      </c>
      <c r="M185" s="97">
        <f t="shared" si="67"/>
        <v>450809</v>
      </c>
      <c r="P185" s="112"/>
      <c r="Q185" s="187" t="s">
        <v>4894</v>
      </c>
      <c r="R185" s="187" t="s">
        <v>4893</v>
      </c>
      <c r="S185" s="186">
        <v>480105</v>
      </c>
      <c r="T185" s="210" t="s">
        <v>3668</v>
      </c>
      <c r="U185" s="210">
        <v>37457</v>
      </c>
      <c r="V185" s="111">
        <v>239.77</v>
      </c>
      <c r="W185" s="111">
        <f t="shared" si="63"/>
        <v>8981064.8900000006</v>
      </c>
      <c r="X185" s="97" t="s">
        <v>452</v>
      </c>
      <c r="Y185" s="94"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87"/>
      <c r="R186" s="187" t="s">
        <v>4934</v>
      </c>
      <c r="S186" s="186">
        <v>30500000</v>
      </c>
      <c r="T186" s="210" t="s">
        <v>4657</v>
      </c>
      <c r="U186" s="210">
        <v>38412</v>
      </c>
      <c r="V186" s="111">
        <v>239.03</v>
      </c>
      <c r="W186" s="111">
        <f t="shared" si="63"/>
        <v>9181620.3599999994</v>
      </c>
      <c r="X186" s="97" t="s">
        <v>744</v>
      </c>
      <c r="Y186" t="s">
        <v>25</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9" t="s">
        <v>4965</v>
      </c>
      <c r="R187" s="19" t="s">
        <v>4960</v>
      </c>
      <c r="S187" s="115">
        <v>-400000</v>
      </c>
      <c r="T187" s="210" t="s">
        <v>4657</v>
      </c>
      <c r="U187" s="210">
        <v>38412</v>
      </c>
      <c r="V187" s="111">
        <v>239.03</v>
      </c>
      <c r="W187" s="111">
        <f t="shared" si="63"/>
        <v>9181620.3599999994</v>
      </c>
      <c r="X187" s="97" t="s">
        <v>452</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7" t="s">
        <v>5076</v>
      </c>
      <c r="R188" s="187" t="s">
        <v>4995</v>
      </c>
      <c r="S188" s="186">
        <v>-349550</v>
      </c>
      <c r="T188" s="210" t="s">
        <v>4660</v>
      </c>
      <c r="U188" s="210">
        <v>49555</v>
      </c>
      <c r="V188" s="111">
        <v>238.345</v>
      </c>
      <c r="W188" s="111">
        <f t="shared" si="63"/>
        <v>11811186.475</v>
      </c>
      <c r="X188" s="97" t="s">
        <v>744</v>
      </c>
      <c r="AH188" s="97">
        <v>168</v>
      </c>
      <c r="AI188" s="111" t="s">
        <v>5073</v>
      </c>
      <c r="AJ188" s="111">
        <v>30000</v>
      </c>
      <c r="AK188" s="97">
        <v>7</v>
      </c>
      <c r="AL188" s="20">
        <f t="shared" si="68"/>
        <v>468</v>
      </c>
      <c r="AM188" s="115">
        <f t="shared" si="69"/>
        <v>14040000</v>
      </c>
      <c r="AN188" s="20"/>
    </row>
    <row r="189" spans="5:43">
      <c r="Q189" s="187" t="s">
        <v>5105</v>
      </c>
      <c r="R189" s="187" t="s">
        <v>5102</v>
      </c>
      <c r="S189" s="186">
        <v>11500000</v>
      </c>
      <c r="T189" s="210" t="s">
        <v>4660</v>
      </c>
      <c r="U189" s="210">
        <v>49555</v>
      </c>
      <c r="V189" s="111">
        <v>238.345</v>
      </c>
      <c r="W189" s="111">
        <f t="shared" si="63"/>
        <v>11811186.475</v>
      </c>
      <c r="X189" s="97" t="s">
        <v>452</v>
      </c>
      <c r="AH189" s="97">
        <v>169</v>
      </c>
      <c r="AI189" s="111" t="s">
        <v>5031</v>
      </c>
      <c r="AJ189" s="111">
        <v>-10000000</v>
      </c>
      <c r="AK189" s="97">
        <v>0</v>
      </c>
      <c r="AL189" s="20">
        <f t="shared" si="68"/>
        <v>461</v>
      </c>
      <c r="AM189" s="115">
        <f t="shared" si="69"/>
        <v>-4610000000</v>
      </c>
      <c r="AN189" s="20" t="s">
        <v>4990</v>
      </c>
    </row>
    <row r="190" spans="5:43">
      <c r="Q190" s="187" t="s">
        <v>5134</v>
      </c>
      <c r="R190" s="187" t="s">
        <v>5133</v>
      </c>
      <c r="S190" s="186">
        <v>6000000</v>
      </c>
      <c r="T190" s="210" t="s">
        <v>4674</v>
      </c>
      <c r="U190" s="210">
        <v>160187</v>
      </c>
      <c r="V190" s="111">
        <v>257.49799999999999</v>
      </c>
      <c r="W190" s="111">
        <f t="shared" si="63"/>
        <v>41247832.126000002</v>
      </c>
      <c r="X190" s="97" t="s">
        <v>744</v>
      </c>
      <c r="Y190" t="s">
        <v>25</v>
      </c>
      <c r="AA190" t="s">
        <v>25</v>
      </c>
      <c r="AH190" s="97">
        <v>170</v>
      </c>
      <c r="AI190" s="111" t="s">
        <v>5031</v>
      </c>
      <c r="AJ190" s="111">
        <v>6000000</v>
      </c>
      <c r="AK190" s="97">
        <v>8</v>
      </c>
      <c r="AL190" s="20">
        <f t="shared" si="68"/>
        <v>461</v>
      </c>
      <c r="AM190" s="115">
        <f t="shared" si="69"/>
        <v>2766000000</v>
      </c>
      <c r="AN190" s="20"/>
      <c r="AP190" t="s">
        <v>25</v>
      </c>
    </row>
    <row r="191" spans="5:43">
      <c r="G191" s="97" t="s">
        <v>5485</v>
      </c>
      <c r="H191" s="97"/>
      <c r="I191" s="97"/>
      <c r="K191" t="s">
        <v>25</v>
      </c>
      <c r="M191" t="s">
        <v>25</v>
      </c>
      <c r="Q191" s="187" t="s">
        <v>5136</v>
      </c>
      <c r="R191" s="187" t="s">
        <v>5135</v>
      </c>
      <c r="S191" s="186">
        <v>1500000</v>
      </c>
      <c r="T191" s="210" t="s">
        <v>4674</v>
      </c>
      <c r="U191" s="210">
        <v>160187</v>
      </c>
      <c r="V191" s="111">
        <v>257.49799999999999</v>
      </c>
      <c r="W191" s="111">
        <f t="shared" si="63"/>
        <v>41247832.126000002</v>
      </c>
      <c r="X191" s="97" t="s">
        <v>452</v>
      </c>
      <c r="AH191" s="97">
        <v>171</v>
      </c>
      <c r="AI191" s="111" t="s">
        <v>5099</v>
      </c>
      <c r="AJ191" s="111">
        <v>150000</v>
      </c>
      <c r="AK191" s="97">
        <v>7</v>
      </c>
      <c r="AL191" s="20">
        <f>AL192+AK191</f>
        <v>453</v>
      </c>
      <c r="AM191" s="115">
        <f>AJ191*AL191</f>
        <v>67950000</v>
      </c>
      <c r="AN191" s="20"/>
    </row>
    <row r="192" spans="5:43">
      <c r="G192" s="97" t="s">
        <v>452</v>
      </c>
      <c r="H192" s="97">
        <v>199</v>
      </c>
      <c r="I192" s="97" t="s">
        <v>5486</v>
      </c>
      <c r="Q192" s="19" t="s">
        <v>4965</v>
      </c>
      <c r="R192" s="19" t="s">
        <v>5143</v>
      </c>
      <c r="S192" s="115">
        <v>-200000</v>
      </c>
      <c r="T192" s="210" t="s">
        <v>4681</v>
      </c>
      <c r="U192" s="210">
        <v>144401</v>
      </c>
      <c r="V192" s="111">
        <v>258.5061</v>
      </c>
      <c r="W192" s="111">
        <f t="shared" si="63"/>
        <v>37328539.346100003</v>
      </c>
      <c r="X192" s="97" t="s">
        <v>744</v>
      </c>
      <c r="Z192" t="s">
        <v>25</v>
      </c>
      <c r="AH192" s="97">
        <v>172</v>
      </c>
      <c r="AI192" s="111" t="s">
        <v>5135</v>
      </c>
      <c r="AJ192" s="111">
        <v>400000</v>
      </c>
      <c r="AK192" s="97">
        <v>1</v>
      </c>
      <c r="AL192" s="20">
        <f>AL193+AK192</f>
        <v>446</v>
      </c>
      <c r="AM192" s="115">
        <f>AJ192*AL192</f>
        <v>178400000</v>
      </c>
      <c r="AN192" s="20"/>
    </row>
    <row r="193" spans="7:45">
      <c r="G193" s="97" t="s">
        <v>744</v>
      </c>
      <c r="H193" s="97">
        <v>200</v>
      </c>
      <c r="I193" s="97" t="s">
        <v>5487</v>
      </c>
      <c r="M193" t="s">
        <v>25</v>
      </c>
      <c r="P193" s="112"/>
      <c r="Q193" s="188" t="s">
        <v>5163</v>
      </c>
      <c r="R193" s="188" t="s">
        <v>5162</v>
      </c>
      <c r="S193" s="194">
        <v>1000000</v>
      </c>
      <c r="T193" s="210" t="s">
        <v>4681</v>
      </c>
      <c r="U193" s="210">
        <v>144401</v>
      </c>
      <c r="V193" s="111">
        <v>258.5061</v>
      </c>
      <c r="W193" s="111">
        <f t="shared" si="63"/>
        <v>37328539.346100003</v>
      </c>
      <c r="X193" s="97" t="s">
        <v>452</v>
      </c>
      <c r="AH193" s="97">
        <v>173</v>
      </c>
      <c r="AI193" s="111" t="s">
        <v>5139</v>
      </c>
      <c r="AJ193" s="111">
        <v>-100000</v>
      </c>
      <c r="AK193" s="97">
        <v>1</v>
      </c>
      <c r="AL193" s="20">
        <f>AL194+AK193</f>
        <v>445</v>
      </c>
      <c r="AM193" s="115">
        <f>AJ193*AL193</f>
        <v>-44500000</v>
      </c>
      <c r="AN193" s="20"/>
    </row>
    <row r="194" spans="7:45">
      <c r="G194" s="97" t="s">
        <v>5458</v>
      </c>
      <c r="H194" s="97">
        <v>200</v>
      </c>
      <c r="I194" s="97" t="s">
        <v>5528</v>
      </c>
      <c r="P194" s="112"/>
      <c r="Q194" s="19" t="s">
        <v>4965</v>
      </c>
      <c r="R194" s="19" t="s">
        <v>5176</v>
      </c>
      <c r="S194" s="115">
        <v>-122000</v>
      </c>
      <c r="T194" s="166" t="s">
        <v>4687</v>
      </c>
      <c r="U194" s="166">
        <v>196500</v>
      </c>
      <c r="V194" s="111">
        <v>254.452</v>
      </c>
      <c r="W194" s="111">
        <f t="shared" si="63"/>
        <v>49999818</v>
      </c>
      <c r="X194" s="97" t="s">
        <v>4691</v>
      </c>
      <c r="Y194" t="s">
        <v>25</v>
      </c>
      <c r="AH194" s="97">
        <v>174</v>
      </c>
      <c r="AI194" s="111" t="s">
        <v>5143</v>
      </c>
      <c r="AJ194" s="111">
        <v>10000000</v>
      </c>
      <c r="AK194" s="97">
        <v>1</v>
      </c>
      <c r="AL194" s="20">
        <f>AL195+AK194</f>
        <v>444</v>
      </c>
      <c r="AM194" s="115">
        <f>AJ194*AL194</f>
        <v>4440000000</v>
      </c>
      <c r="AN194" s="20" t="s">
        <v>4689</v>
      </c>
      <c r="AS194" t="s">
        <v>25</v>
      </c>
    </row>
    <row r="195" spans="7:45">
      <c r="G195" s="97" t="s">
        <v>1071</v>
      </c>
      <c r="H195" s="97">
        <v>200</v>
      </c>
      <c r="I195" s="97" t="s">
        <v>5488</v>
      </c>
      <c r="P195" s="112"/>
      <c r="Q195" s="19" t="s">
        <v>4965</v>
      </c>
      <c r="R195" s="19" t="s">
        <v>5184</v>
      </c>
      <c r="S195" s="115">
        <v>-700000</v>
      </c>
      <c r="T195" s="210" t="s">
        <v>4687</v>
      </c>
      <c r="U195" s="210">
        <v>2561</v>
      </c>
      <c r="V195" s="111">
        <v>254.536</v>
      </c>
      <c r="W195" s="111">
        <f t="shared" si="63"/>
        <v>651866.696</v>
      </c>
      <c r="X195" s="97" t="s">
        <v>4692</v>
      </c>
      <c r="AA195" t="s">
        <v>25</v>
      </c>
      <c r="AH195" s="97">
        <v>175</v>
      </c>
      <c r="AI195" s="111" t="s">
        <v>5148</v>
      </c>
      <c r="AJ195" s="111">
        <v>-400000</v>
      </c>
      <c r="AK195" s="97">
        <v>6</v>
      </c>
      <c r="AL195" s="20">
        <f t="shared" ref="AL195:AL203" si="70">AL196+AK195</f>
        <v>443</v>
      </c>
      <c r="AM195" s="115">
        <f t="shared" ref="AM195:AM203" si="71">AJ195*AL195</f>
        <v>-177200000</v>
      </c>
      <c r="AN195" s="20"/>
    </row>
    <row r="196" spans="7:45">
      <c r="G196" s="97"/>
      <c r="H196" s="97"/>
      <c r="I196" s="97"/>
      <c r="P196" s="112"/>
      <c r="Q196" s="19" t="s">
        <v>4965</v>
      </c>
      <c r="R196" s="19" t="s">
        <v>5194</v>
      </c>
      <c r="S196" s="115">
        <v>-60000</v>
      </c>
      <c r="T196" s="210" t="s">
        <v>4734</v>
      </c>
      <c r="U196" s="210">
        <v>-11795</v>
      </c>
      <c r="V196" s="111">
        <v>254.334</v>
      </c>
      <c r="W196" s="111">
        <f t="shared" si="63"/>
        <v>-2999869.5300000003</v>
      </c>
      <c r="X196" s="97" t="s">
        <v>4735</v>
      </c>
      <c r="AH196" s="97">
        <v>176</v>
      </c>
      <c r="AI196" s="111" t="s">
        <v>5155</v>
      </c>
      <c r="AJ196" s="111">
        <v>1300000</v>
      </c>
      <c r="AK196" s="97">
        <v>0</v>
      </c>
      <c r="AL196" s="20">
        <f t="shared" si="70"/>
        <v>437</v>
      </c>
      <c r="AM196" s="115">
        <f t="shared" si="71"/>
        <v>568100000</v>
      </c>
      <c r="AN196" s="20"/>
      <c r="AR196" t="s">
        <v>25</v>
      </c>
    </row>
    <row r="197" spans="7:45">
      <c r="G197" s="97"/>
      <c r="H197" s="97"/>
      <c r="I197" s="97"/>
      <c r="P197" s="112"/>
      <c r="Q197" s="19" t="s">
        <v>4410</v>
      </c>
      <c r="R197" s="19" t="s">
        <v>5253</v>
      </c>
      <c r="S197" s="115">
        <v>700000</v>
      </c>
      <c r="T197" s="210" t="s">
        <v>4734</v>
      </c>
      <c r="U197" s="210">
        <v>11795</v>
      </c>
      <c r="V197" s="111">
        <v>254.334</v>
      </c>
      <c r="W197" s="111">
        <f t="shared" si="63"/>
        <v>2999869.5300000003</v>
      </c>
      <c r="X197" s="97" t="s">
        <v>4736</v>
      </c>
      <c r="AH197" s="97">
        <v>177</v>
      </c>
      <c r="AI197" s="111" t="s">
        <v>5155</v>
      </c>
      <c r="AJ197" s="111">
        <v>230000</v>
      </c>
      <c r="AK197" s="97">
        <v>1</v>
      </c>
      <c r="AL197" s="20">
        <f t="shared" si="70"/>
        <v>437</v>
      </c>
      <c r="AM197" s="115">
        <f t="shared" si="71"/>
        <v>100510000</v>
      </c>
      <c r="AN197" s="20"/>
    </row>
    <row r="198" spans="7:45">
      <c r="G198" s="97"/>
      <c r="H198" s="97"/>
      <c r="I198" s="97"/>
      <c r="K198" t="s">
        <v>25</v>
      </c>
      <c r="M198" t="s">
        <v>25</v>
      </c>
      <c r="P198" s="112"/>
      <c r="Q198" s="187" t="s">
        <v>5689</v>
      </c>
      <c r="R198" s="187" t="s">
        <v>5262</v>
      </c>
      <c r="S198" s="186">
        <v>-4000000</v>
      </c>
      <c r="T198" s="210" t="s">
        <v>4748</v>
      </c>
      <c r="U198" s="210">
        <v>260</v>
      </c>
      <c r="V198" s="111">
        <v>263.19</v>
      </c>
      <c r="W198" s="111">
        <f t="shared" si="63"/>
        <v>68429.399999999994</v>
      </c>
      <c r="X198" s="97" t="s">
        <v>452</v>
      </c>
      <c r="AH198" s="97">
        <v>178</v>
      </c>
      <c r="AI198" s="111" t="s">
        <v>5158</v>
      </c>
      <c r="AJ198" s="111">
        <v>880000</v>
      </c>
      <c r="AK198" s="97">
        <v>4</v>
      </c>
      <c r="AL198" s="20">
        <f t="shared" si="70"/>
        <v>436</v>
      </c>
      <c r="AM198" s="115">
        <f t="shared" si="71"/>
        <v>383680000</v>
      </c>
      <c r="AN198" s="20"/>
    </row>
    <row r="199" spans="7:45">
      <c r="G199" s="97"/>
      <c r="H199" s="97"/>
      <c r="I199" s="97"/>
      <c r="P199" s="112"/>
      <c r="Q199" s="187" t="s">
        <v>5690</v>
      </c>
      <c r="R199" s="187" t="s">
        <v>5264</v>
      </c>
      <c r="S199" s="186">
        <v>4000000</v>
      </c>
      <c r="T199" s="210" t="s">
        <v>4757</v>
      </c>
      <c r="U199" s="210">
        <v>15257</v>
      </c>
      <c r="V199" s="111">
        <v>262.19018</v>
      </c>
      <c r="W199" s="111">
        <f t="shared" si="63"/>
        <v>4000235.57626</v>
      </c>
      <c r="X199" s="97" t="s">
        <v>452</v>
      </c>
      <c r="AH199" s="97">
        <v>179</v>
      </c>
      <c r="AI199" s="111" t="s">
        <v>5162</v>
      </c>
      <c r="AJ199" s="111">
        <v>-900000</v>
      </c>
      <c r="AK199" s="97">
        <v>1</v>
      </c>
      <c r="AL199" s="20">
        <f t="shared" si="70"/>
        <v>432</v>
      </c>
      <c r="AM199" s="115">
        <f t="shared" si="71"/>
        <v>-388800000</v>
      </c>
      <c r="AN199" s="20"/>
    </row>
    <row r="200" spans="7:45">
      <c r="O200" t="s">
        <v>25</v>
      </c>
      <c r="P200" s="112"/>
      <c r="Q200" s="187" t="s">
        <v>1071</v>
      </c>
      <c r="R200" s="187" t="s">
        <v>5274</v>
      </c>
      <c r="S200" s="186">
        <v>40000000</v>
      </c>
      <c r="T200" s="210" t="s">
        <v>4757</v>
      </c>
      <c r="U200" s="210">
        <v>8444</v>
      </c>
      <c r="V200" s="111">
        <v>266.43029999999999</v>
      </c>
      <c r="W200" s="111">
        <f t="shared" si="63"/>
        <v>2249737.4531999999</v>
      </c>
      <c r="X200" s="97" t="s">
        <v>452</v>
      </c>
      <c r="AH200" s="97">
        <v>180</v>
      </c>
      <c r="AI200" s="111" t="s">
        <v>977</v>
      </c>
      <c r="AJ200" s="111">
        <v>-3500000</v>
      </c>
      <c r="AK200" s="97">
        <v>1</v>
      </c>
      <c r="AL200" s="20">
        <f t="shared" si="70"/>
        <v>431</v>
      </c>
      <c r="AM200" s="115">
        <f t="shared" si="71"/>
        <v>-1508500000</v>
      </c>
      <c r="AN200" s="20"/>
      <c r="AR200" t="s">
        <v>25</v>
      </c>
    </row>
    <row r="201" spans="7:45">
      <c r="G201" s="210" t="s">
        <v>180</v>
      </c>
      <c r="H201" s="210" t="s">
        <v>5511</v>
      </c>
      <c r="I201" t="s">
        <v>5504</v>
      </c>
      <c r="Q201" s="19" t="s">
        <v>4410</v>
      </c>
      <c r="R201" s="19" t="s">
        <v>5278</v>
      </c>
      <c r="S201" s="115">
        <v>-800000</v>
      </c>
      <c r="T201" s="210" t="s">
        <v>4762</v>
      </c>
      <c r="U201" s="210">
        <v>-6209</v>
      </c>
      <c r="V201" s="111">
        <v>273.79649999999998</v>
      </c>
      <c r="W201" s="111">
        <f t="shared" si="63"/>
        <v>-1700002.4685</v>
      </c>
      <c r="X201" s="97" t="s">
        <v>4773</v>
      </c>
      <c r="AH201" s="97">
        <v>181</v>
      </c>
      <c r="AI201" s="111" t="s">
        <v>4257</v>
      </c>
      <c r="AJ201" s="111">
        <v>-1600000</v>
      </c>
      <c r="AK201" s="97">
        <v>1</v>
      </c>
      <c r="AL201" s="20">
        <f t="shared" si="70"/>
        <v>430</v>
      </c>
      <c r="AM201" s="115">
        <f t="shared" si="71"/>
        <v>-688000000</v>
      </c>
      <c r="AN201" s="20"/>
      <c r="AQ201" t="s">
        <v>25</v>
      </c>
    </row>
    <row r="202" spans="7:45">
      <c r="G202" s="210" t="s">
        <v>5474</v>
      </c>
      <c r="H202" s="1">
        <v>30000000</v>
      </c>
      <c r="I202" t="s">
        <v>5505</v>
      </c>
      <c r="P202" s="112"/>
      <c r="Q202" s="210" t="s">
        <v>4410</v>
      </c>
      <c r="R202" s="210" t="s">
        <v>5361</v>
      </c>
      <c r="S202" s="115">
        <v>700000</v>
      </c>
      <c r="T202" s="210" t="s">
        <v>4762</v>
      </c>
      <c r="U202" s="210">
        <v>-8014</v>
      </c>
      <c r="V202" s="111">
        <v>273.79649999999998</v>
      </c>
      <c r="W202" s="111">
        <f t="shared" si="63"/>
        <v>-2194205.1510000001</v>
      </c>
      <c r="X202" s="97" t="s">
        <v>744</v>
      </c>
      <c r="AH202" s="97">
        <v>182</v>
      </c>
      <c r="AI202" s="111" t="s">
        <v>5168</v>
      </c>
      <c r="AJ202" s="111">
        <v>-800000</v>
      </c>
      <c r="AK202" s="97">
        <v>7</v>
      </c>
      <c r="AL202" s="20">
        <f t="shared" si="70"/>
        <v>429</v>
      </c>
      <c r="AM202" s="115">
        <f t="shared" si="71"/>
        <v>-343200000</v>
      </c>
      <c r="AN202" s="20"/>
    </row>
    <row r="203" spans="7:45">
      <c r="G203" s="210" t="s">
        <v>5475</v>
      </c>
      <c r="H203" s="1">
        <v>550000</v>
      </c>
      <c r="I203" t="s">
        <v>5506</v>
      </c>
      <c r="P203" s="112"/>
      <c r="Q203" s="187" t="s">
        <v>5382</v>
      </c>
      <c r="R203" s="187" t="s">
        <v>5380</v>
      </c>
      <c r="S203" s="186">
        <v>-26000000</v>
      </c>
      <c r="T203" s="210" t="s">
        <v>4771</v>
      </c>
      <c r="U203" s="210">
        <v>-9176</v>
      </c>
      <c r="V203" s="111">
        <v>273.79649999999998</v>
      </c>
      <c r="W203" s="111">
        <f t="shared" si="63"/>
        <v>-2512356.6839999999</v>
      </c>
      <c r="X203" s="97" t="s">
        <v>452</v>
      </c>
      <c r="AH203" s="97">
        <v>183</v>
      </c>
      <c r="AI203" s="111" t="s">
        <v>5176</v>
      </c>
      <c r="AJ203" s="111">
        <v>50000</v>
      </c>
      <c r="AK203" s="97">
        <v>2</v>
      </c>
      <c r="AL203" s="20">
        <f t="shared" si="70"/>
        <v>422</v>
      </c>
      <c r="AM203" s="115">
        <f t="shared" si="71"/>
        <v>21100000</v>
      </c>
      <c r="AN203" s="20"/>
    </row>
    <row r="204" spans="7:45">
      <c r="G204" s="210" t="s">
        <v>5476</v>
      </c>
      <c r="H204" s="1">
        <v>70370000</v>
      </c>
      <c r="I204" t="s">
        <v>4085</v>
      </c>
      <c r="Q204" s="187" t="s">
        <v>5382</v>
      </c>
      <c r="R204" s="187" t="s">
        <v>5384</v>
      </c>
      <c r="S204" s="186">
        <v>-95900000</v>
      </c>
      <c r="T204" s="210" t="s">
        <v>4771</v>
      </c>
      <c r="U204" s="210">
        <v>1087</v>
      </c>
      <c r="V204" s="111">
        <v>273.79649999999998</v>
      </c>
      <c r="W204" s="111">
        <f t="shared" si="63"/>
        <v>297616.79550000001</v>
      </c>
      <c r="X204" s="97" t="s">
        <v>452</v>
      </c>
      <c r="AH204" s="97">
        <v>184</v>
      </c>
      <c r="AI204" s="111" t="s">
        <v>5178</v>
      </c>
      <c r="AJ204" s="111">
        <v>400000</v>
      </c>
      <c r="AK204" s="97">
        <v>8</v>
      </c>
      <c r="AL204" s="20">
        <f t="shared" ref="AL204:AL213" si="72">AL205+AK204</f>
        <v>420</v>
      </c>
      <c r="AM204" s="115">
        <f t="shared" ref="AM204:AM213" si="73">AJ204*AL204</f>
        <v>168000000</v>
      </c>
      <c r="AN204" s="20"/>
      <c r="AR204" t="s">
        <v>25</v>
      </c>
    </row>
    <row r="205" spans="7:45">
      <c r="G205" s="210" t="s">
        <v>5477</v>
      </c>
      <c r="H205" s="1">
        <v>1215000</v>
      </c>
      <c r="I205" t="s">
        <v>5507</v>
      </c>
      <c r="P205" s="112"/>
      <c r="Q205" s="187" t="s">
        <v>5382</v>
      </c>
      <c r="R205" s="187" t="s">
        <v>5385</v>
      </c>
      <c r="S205" s="186">
        <v>-28950000</v>
      </c>
      <c r="T205" s="210" t="s">
        <v>966</v>
      </c>
      <c r="U205" s="210">
        <v>-4017</v>
      </c>
      <c r="V205" s="111">
        <v>273.79649999999998</v>
      </c>
      <c r="W205" s="111">
        <f t="shared" si="63"/>
        <v>-1099840.5404999999</v>
      </c>
      <c r="X205" s="97" t="s">
        <v>4410</v>
      </c>
      <c r="AH205" s="97">
        <v>185</v>
      </c>
      <c r="AI205" s="111" t="s">
        <v>5153</v>
      </c>
      <c r="AJ205" s="111">
        <v>-10000000</v>
      </c>
      <c r="AK205" s="97">
        <v>0</v>
      </c>
      <c r="AL205" s="20">
        <f t="shared" si="72"/>
        <v>412</v>
      </c>
      <c r="AM205" s="115">
        <f t="shared" si="73"/>
        <v>-4120000000</v>
      </c>
      <c r="AN205" s="20" t="s">
        <v>4990</v>
      </c>
    </row>
    <row r="206" spans="7:45">
      <c r="G206" s="210" t="s">
        <v>5478</v>
      </c>
      <c r="H206" s="1">
        <v>15350000</v>
      </c>
      <c r="I206" t="s">
        <v>5508</v>
      </c>
      <c r="P206" s="112"/>
      <c r="Q206" s="170" t="s">
        <v>5395</v>
      </c>
      <c r="R206" s="170" t="s">
        <v>5393</v>
      </c>
      <c r="S206" s="168">
        <v>2000000</v>
      </c>
      <c r="T206" s="210" t="s">
        <v>966</v>
      </c>
      <c r="U206" s="210">
        <v>4017</v>
      </c>
      <c r="V206" s="111">
        <v>273.79649999999998</v>
      </c>
      <c r="W206" s="111">
        <f t="shared" si="63"/>
        <v>1099840.5404999999</v>
      </c>
      <c r="X206" s="97" t="s">
        <v>452</v>
      </c>
      <c r="AH206" s="97">
        <v>186</v>
      </c>
      <c r="AI206" s="111" t="s">
        <v>5153</v>
      </c>
      <c r="AJ206" s="111">
        <v>3000000</v>
      </c>
      <c r="AK206" s="97">
        <v>1</v>
      </c>
      <c r="AL206" s="20">
        <f t="shared" si="72"/>
        <v>412</v>
      </c>
      <c r="AM206" s="115">
        <f t="shared" si="73"/>
        <v>1236000000</v>
      </c>
      <c r="AN206" s="20"/>
    </row>
    <row r="207" spans="7:45">
      <c r="G207" s="210" t="s">
        <v>5479</v>
      </c>
      <c r="H207" s="1">
        <v>70000</v>
      </c>
      <c r="I207" t="s">
        <v>5509</v>
      </c>
      <c r="Q207" s="187" t="s">
        <v>5401</v>
      </c>
      <c r="R207" s="187" t="s">
        <v>5399</v>
      </c>
      <c r="S207" s="186">
        <v>1896188</v>
      </c>
      <c r="T207" s="210" t="s">
        <v>4778</v>
      </c>
      <c r="U207" s="210">
        <v>3137</v>
      </c>
      <c r="V207" s="111">
        <v>283.69110000000001</v>
      </c>
      <c r="W207" s="111">
        <f t="shared" si="63"/>
        <v>889938.98070000007</v>
      </c>
      <c r="X207" s="97" t="s">
        <v>452</v>
      </c>
      <c r="Y207" t="s">
        <v>25</v>
      </c>
      <c r="AH207" s="97">
        <v>187</v>
      </c>
      <c r="AI207" s="111" t="s">
        <v>5190</v>
      </c>
      <c r="AJ207" s="111">
        <v>500000</v>
      </c>
      <c r="AK207" s="97">
        <v>23</v>
      </c>
      <c r="AL207" s="20">
        <f t="shared" si="72"/>
        <v>411</v>
      </c>
      <c r="AM207" s="115">
        <f t="shared" si="73"/>
        <v>205500000</v>
      </c>
      <c r="AN207" s="20"/>
      <c r="AR207" t="s">
        <v>25</v>
      </c>
    </row>
    <row r="208" spans="7:45">
      <c r="G208" s="210" t="s">
        <v>5483</v>
      </c>
      <c r="H208" s="1">
        <v>800000</v>
      </c>
      <c r="I208" t="s">
        <v>5510</v>
      </c>
      <c r="P208" s="112"/>
      <c r="Q208" s="187" t="s">
        <v>5463</v>
      </c>
      <c r="R208" s="187" t="s">
        <v>5461</v>
      </c>
      <c r="S208" s="186">
        <v>0</v>
      </c>
      <c r="T208" s="210" t="s">
        <v>4791</v>
      </c>
      <c r="U208" s="210">
        <v>101933</v>
      </c>
      <c r="V208" s="111">
        <v>294.30973999999998</v>
      </c>
      <c r="W208" s="111">
        <f t="shared" si="63"/>
        <v>29999874.727419998</v>
      </c>
      <c r="X208" s="97" t="s">
        <v>1071</v>
      </c>
      <c r="Y208" t="s">
        <v>25</v>
      </c>
      <c r="AH208" s="97">
        <v>188</v>
      </c>
      <c r="AI208" s="111" t="s">
        <v>5211</v>
      </c>
      <c r="AJ208" s="111">
        <v>101268</v>
      </c>
      <c r="AK208" s="97">
        <v>1</v>
      </c>
      <c r="AL208" s="20">
        <f t="shared" si="72"/>
        <v>388</v>
      </c>
      <c r="AM208" s="115">
        <f t="shared" si="73"/>
        <v>39291984</v>
      </c>
      <c r="AN208" s="20"/>
      <c r="AR208" t="s">
        <v>25</v>
      </c>
    </row>
    <row r="209" spans="6:46">
      <c r="G209" s="210" t="s">
        <v>5499</v>
      </c>
      <c r="H209" s="1">
        <v>1948000</v>
      </c>
      <c r="Q209" s="187" t="s">
        <v>5550</v>
      </c>
      <c r="R209" s="187" t="s">
        <v>5545</v>
      </c>
      <c r="S209" s="186">
        <v>-1265000</v>
      </c>
      <c r="T209" s="210" t="s">
        <v>4798</v>
      </c>
      <c r="U209" s="210">
        <v>3407</v>
      </c>
      <c r="V209" s="111">
        <v>293.43799999999999</v>
      </c>
      <c r="W209" s="111">
        <f t="shared" si="63"/>
        <v>999743.26599999995</v>
      </c>
      <c r="X209" s="97" t="s">
        <v>452</v>
      </c>
      <c r="AH209" s="97">
        <v>189</v>
      </c>
      <c r="AI209" s="111" t="s">
        <v>5214</v>
      </c>
      <c r="AJ209" s="111">
        <v>101000</v>
      </c>
      <c r="AK209" s="97">
        <v>34</v>
      </c>
      <c r="AL209" s="20">
        <f t="shared" si="72"/>
        <v>387</v>
      </c>
      <c r="AM209" s="115">
        <f t="shared" si="73"/>
        <v>39087000</v>
      </c>
      <c r="AN209" s="20"/>
      <c r="AP209" t="s">
        <v>25</v>
      </c>
      <c r="AT209" s="94" t="s">
        <v>25</v>
      </c>
    </row>
    <row r="210" spans="6:46">
      <c r="G210" s="210" t="s">
        <v>5529</v>
      </c>
      <c r="H210" s="1">
        <v>5745697.3157000002</v>
      </c>
      <c r="P210" t="s">
        <v>25</v>
      </c>
      <c r="Q210" s="187" t="s">
        <v>5588</v>
      </c>
      <c r="R210" s="187" t="s">
        <v>4213</v>
      </c>
      <c r="S210" s="186">
        <v>13752871.322800001</v>
      </c>
      <c r="T210" s="210" t="s">
        <v>4799</v>
      </c>
      <c r="U210" s="210">
        <v>68796</v>
      </c>
      <c r="V210" s="111">
        <v>293.53250000000003</v>
      </c>
      <c r="W210" s="111">
        <f t="shared" si="63"/>
        <v>20193861.870000001</v>
      </c>
      <c r="X210" s="97" t="s">
        <v>744</v>
      </c>
      <c r="AH210" s="97">
        <v>190</v>
      </c>
      <c r="AI210" s="111" t="s">
        <v>5239</v>
      </c>
      <c r="AJ210" s="111">
        <v>-488602</v>
      </c>
      <c r="AK210" s="97">
        <v>5</v>
      </c>
      <c r="AL210" s="20">
        <f t="shared" si="72"/>
        <v>353</v>
      </c>
      <c r="AM210" s="115">
        <f t="shared" si="73"/>
        <v>-172476506</v>
      </c>
      <c r="AN210" s="20"/>
      <c r="AR210" t="s">
        <v>25</v>
      </c>
    </row>
    <row r="211" spans="6:46">
      <c r="G211" s="210" t="s">
        <v>5530</v>
      </c>
      <c r="H211" s="1">
        <v>908158.17935999995</v>
      </c>
      <c r="Q211" s="213" t="s">
        <v>5395</v>
      </c>
      <c r="R211" s="213" t="s">
        <v>5590</v>
      </c>
      <c r="S211" s="240">
        <v>-48150</v>
      </c>
      <c r="T211" s="210" t="s">
        <v>4799</v>
      </c>
      <c r="U211" s="210">
        <v>154791</v>
      </c>
      <c r="V211" s="111">
        <v>293.53250000000003</v>
      </c>
      <c r="W211" s="111">
        <f t="shared" si="63"/>
        <v>45436189.207500003</v>
      </c>
      <c r="X211" s="97" t="s">
        <v>452</v>
      </c>
      <c r="AH211" s="97">
        <v>191</v>
      </c>
      <c r="AI211" s="111" t="s">
        <v>5253</v>
      </c>
      <c r="AJ211" s="111">
        <v>360000</v>
      </c>
      <c r="AK211" s="97">
        <v>10</v>
      </c>
      <c r="AL211" s="20">
        <f t="shared" si="72"/>
        <v>348</v>
      </c>
      <c r="AM211" s="115">
        <f t="shared" si="73"/>
        <v>125280000</v>
      </c>
      <c r="AN211" s="20"/>
      <c r="AR211" t="s">
        <v>25</v>
      </c>
    </row>
    <row r="212" spans="6:46">
      <c r="G212" s="210" t="s">
        <v>5531</v>
      </c>
      <c r="H212" s="1">
        <v>12642697.648548001</v>
      </c>
      <c r="P212" s="112"/>
      <c r="Q212" s="19" t="s">
        <v>5601</v>
      </c>
      <c r="R212" s="19" t="s">
        <v>5598</v>
      </c>
      <c r="S212" s="115">
        <v>3123901.3702000002</v>
      </c>
      <c r="T212" s="210" t="s">
        <v>4799</v>
      </c>
      <c r="U212" s="210">
        <v>-11923</v>
      </c>
      <c r="V212" s="111">
        <v>293.53250000000003</v>
      </c>
      <c r="W212" s="111">
        <f t="shared" si="63"/>
        <v>-3499787.9975000005</v>
      </c>
      <c r="X212" s="97" t="s">
        <v>452</v>
      </c>
      <c r="AH212" s="97">
        <v>192</v>
      </c>
      <c r="AI212" s="111" t="s">
        <v>5264</v>
      </c>
      <c r="AJ212" s="111">
        <v>-3600000</v>
      </c>
      <c r="AK212" s="97">
        <v>4</v>
      </c>
      <c r="AL212" s="20">
        <f t="shared" si="72"/>
        <v>338</v>
      </c>
      <c r="AM212" s="115">
        <f t="shared" si="73"/>
        <v>-1216800000</v>
      </c>
      <c r="AN212" s="20"/>
      <c r="AS212" t="s">
        <v>25</v>
      </c>
    </row>
    <row r="213" spans="6:46">
      <c r="G213" s="210" t="s">
        <v>5532</v>
      </c>
      <c r="H213" s="1">
        <v>12297318</v>
      </c>
      <c r="I213" t="s">
        <v>25</v>
      </c>
      <c r="P213" s="112"/>
      <c r="Q213" s="213" t="s">
        <v>5395</v>
      </c>
      <c r="R213" s="213" t="s">
        <v>5612</v>
      </c>
      <c r="S213" s="240">
        <v>-50000</v>
      </c>
      <c r="T213" s="210" t="s">
        <v>4811</v>
      </c>
      <c r="U213" s="210">
        <v>8424</v>
      </c>
      <c r="V213" s="111">
        <v>299.15170000000001</v>
      </c>
      <c r="W213" s="111">
        <f t="shared" si="63"/>
        <v>2520053.9208</v>
      </c>
      <c r="X213" s="97" t="s">
        <v>452</v>
      </c>
      <c r="AH213" s="97">
        <v>193</v>
      </c>
      <c r="AI213" s="111" t="s">
        <v>5271</v>
      </c>
      <c r="AJ213" s="111">
        <v>-1000000</v>
      </c>
      <c r="AK213" s="97">
        <v>5</v>
      </c>
      <c r="AL213" s="20">
        <f t="shared" si="72"/>
        <v>334</v>
      </c>
      <c r="AM213" s="115">
        <f t="shared" si="73"/>
        <v>-334000000</v>
      </c>
      <c r="AN213" s="20"/>
      <c r="AR213" t="s">
        <v>25</v>
      </c>
    </row>
    <row r="214" spans="6:46">
      <c r="G214" s="210" t="s">
        <v>5533</v>
      </c>
      <c r="H214" s="1">
        <v>8959644</v>
      </c>
      <c r="P214" s="112"/>
      <c r="Q214" s="213" t="s">
        <v>5395</v>
      </c>
      <c r="R214" s="213" t="s">
        <v>5617</v>
      </c>
      <c r="S214" s="240">
        <v>-120000</v>
      </c>
      <c r="T214" s="210" t="s">
        <v>4846</v>
      </c>
      <c r="U214" s="210">
        <v>15943</v>
      </c>
      <c r="V214" s="111">
        <v>307.34415000000001</v>
      </c>
      <c r="W214" s="111">
        <f t="shared" si="63"/>
        <v>4899987.78345</v>
      </c>
      <c r="X214" s="97" t="s">
        <v>452</v>
      </c>
      <c r="AH214" s="97">
        <v>194</v>
      </c>
      <c r="AI214" s="111" t="s">
        <v>5276</v>
      </c>
      <c r="AJ214" s="111">
        <v>360000</v>
      </c>
      <c r="AK214" s="97">
        <v>2</v>
      </c>
      <c r="AL214" s="20">
        <f t="shared" ref="AL214:AL249" si="74">AL215+AK214</f>
        <v>329</v>
      </c>
      <c r="AM214" s="115">
        <f t="shared" ref="AM214:AM249" si="75">AJ214*AL214</f>
        <v>118440000</v>
      </c>
      <c r="AN214" s="20"/>
      <c r="AQ214" t="s">
        <v>25</v>
      </c>
    </row>
    <row r="215" spans="6:46">
      <c r="G215" s="210" t="s">
        <v>5534</v>
      </c>
      <c r="H215" s="111">
        <v>15154095.839328</v>
      </c>
      <c r="P215" s="112"/>
      <c r="Q215" s="271" t="s">
        <v>5395</v>
      </c>
      <c r="R215" s="271" t="s">
        <v>5606</v>
      </c>
      <c r="S215" s="92">
        <v>-150000</v>
      </c>
      <c r="T215" s="210" t="s">
        <v>4865</v>
      </c>
      <c r="U215" s="210">
        <v>3741</v>
      </c>
      <c r="V215" s="111">
        <v>307.34415000000001</v>
      </c>
      <c r="W215" s="111">
        <f t="shared" si="63"/>
        <v>1149774.4651500001</v>
      </c>
      <c r="X215" s="97" t="s">
        <v>452</v>
      </c>
      <c r="Z215" t="s">
        <v>25</v>
      </c>
      <c r="AH215" s="97">
        <v>195</v>
      </c>
      <c r="AI215" s="111" t="s">
        <v>5281</v>
      </c>
      <c r="AJ215" s="111">
        <v>2000000</v>
      </c>
      <c r="AK215" s="97">
        <v>1</v>
      </c>
      <c r="AL215" s="20">
        <f t="shared" si="74"/>
        <v>327</v>
      </c>
      <c r="AM215" s="115">
        <f t="shared" si="75"/>
        <v>654000000</v>
      </c>
      <c r="AN215" s="20"/>
    </row>
    <row r="216" spans="6:46">
      <c r="G216" s="210" t="s">
        <v>5539</v>
      </c>
      <c r="H216" s="111">
        <v>4108143</v>
      </c>
      <c r="P216" s="112"/>
      <c r="Q216" s="271" t="s">
        <v>5395</v>
      </c>
      <c r="R216" s="271" t="s">
        <v>5628</v>
      </c>
      <c r="S216" s="92">
        <v>-200000</v>
      </c>
      <c r="T216" s="210" t="s">
        <v>4870</v>
      </c>
      <c r="U216" s="210">
        <v>-6207</v>
      </c>
      <c r="V216" s="111">
        <v>322.214</v>
      </c>
      <c r="W216" s="111">
        <f t="shared" si="63"/>
        <v>-1999982.298</v>
      </c>
      <c r="X216" s="97" t="s">
        <v>744</v>
      </c>
      <c r="AH216" s="97">
        <v>196</v>
      </c>
      <c r="AI216" s="111" t="s">
        <v>5283</v>
      </c>
      <c r="AJ216" s="111">
        <v>20000000</v>
      </c>
      <c r="AK216" s="97">
        <v>0</v>
      </c>
      <c r="AL216" s="20">
        <f t="shared" si="74"/>
        <v>326</v>
      </c>
      <c r="AM216" s="115">
        <f t="shared" si="75"/>
        <v>6520000000</v>
      </c>
      <c r="AN216" s="20" t="s">
        <v>4689</v>
      </c>
      <c r="AR216" t="s">
        <v>25</v>
      </c>
    </row>
    <row r="217" spans="6:46">
      <c r="G217" s="210" t="s">
        <v>5545</v>
      </c>
      <c r="H217" s="111">
        <v>6000000</v>
      </c>
      <c r="P217" s="112"/>
      <c r="Q217" s="271" t="s">
        <v>5395</v>
      </c>
      <c r="R217" s="271" t="s">
        <v>5633</v>
      </c>
      <c r="S217" s="92">
        <v>-120000</v>
      </c>
      <c r="T217" s="210" t="s">
        <v>4870</v>
      </c>
      <c r="U217" s="210">
        <v>6207</v>
      </c>
      <c r="V217" s="111">
        <v>322.214</v>
      </c>
      <c r="W217" s="111">
        <f t="shared" si="63"/>
        <v>1999982.298</v>
      </c>
      <c r="X217" s="97" t="s">
        <v>4410</v>
      </c>
      <c r="AH217" s="97">
        <v>197</v>
      </c>
      <c r="AI217" s="111" t="s">
        <v>5283</v>
      </c>
      <c r="AJ217" s="111">
        <v>-4700000</v>
      </c>
      <c r="AK217" s="97">
        <v>1</v>
      </c>
      <c r="AL217" s="20">
        <f t="shared" si="74"/>
        <v>326</v>
      </c>
      <c r="AM217" s="115">
        <f t="shared" si="75"/>
        <v>-1532200000</v>
      </c>
      <c r="AN217" s="20"/>
    </row>
    <row r="218" spans="6:46">
      <c r="G218" s="210" t="s">
        <v>5549</v>
      </c>
      <c r="H218" s="111">
        <v>8301786</v>
      </c>
      <c r="I218" t="s">
        <v>25</v>
      </c>
      <c r="J218" t="s">
        <v>25</v>
      </c>
      <c r="P218" s="112"/>
      <c r="Q218" s="271" t="s">
        <v>5395</v>
      </c>
      <c r="R218" s="271" t="s">
        <v>5673</v>
      </c>
      <c r="S218" s="92">
        <v>-6000000</v>
      </c>
      <c r="T218" s="210" t="s">
        <v>4818</v>
      </c>
      <c r="U218" s="210">
        <v>776</v>
      </c>
      <c r="V218" s="111">
        <v>322.214</v>
      </c>
      <c r="W218" s="111">
        <f t="shared" si="63"/>
        <v>250038.06400000001</v>
      </c>
      <c r="X218" s="97" t="s">
        <v>452</v>
      </c>
      <c r="AH218" s="97">
        <v>198</v>
      </c>
      <c r="AI218" s="111" t="s">
        <v>5286</v>
      </c>
      <c r="AJ218" s="111">
        <v>3000000</v>
      </c>
      <c r="AK218" s="97">
        <v>4</v>
      </c>
      <c r="AL218" s="20">
        <f t="shared" si="74"/>
        <v>325</v>
      </c>
      <c r="AM218" s="115">
        <f t="shared" si="75"/>
        <v>975000000</v>
      </c>
      <c r="AN218" s="20"/>
      <c r="AS218" t="s">
        <v>25</v>
      </c>
    </row>
    <row r="219" spans="6:46" ht="45">
      <c r="G219" s="210" t="s">
        <v>5555</v>
      </c>
      <c r="H219" s="111">
        <v>50725508.571864001</v>
      </c>
      <c r="J219" t="s">
        <v>25</v>
      </c>
      <c r="P219" s="112"/>
      <c r="Q219" s="262" t="s">
        <v>5708</v>
      </c>
      <c r="R219" s="187" t="s">
        <v>5673</v>
      </c>
      <c r="S219" s="186">
        <v>-6200000</v>
      </c>
      <c r="T219" s="210" t="s">
        <v>4893</v>
      </c>
      <c r="U219" s="210">
        <v>1524</v>
      </c>
      <c r="V219" s="111">
        <v>314.95999999999998</v>
      </c>
      <c r="W219" s="111">
        <f t="shared" si="63"/>
        <v>479999.04</v>
      </c>
      <c r="X219" s="97" t="s">
        <v>1071</v>
      </c>
      <c r="AH219" s="97">
        <v>199</v>
      </c>
      <c r="AI219" s="111" t="s">
        <v>5288</v>
      </c>
      <c r="AJ219" s="111">
        <v>1500000</v>
      </c>
      <c r="AK219" s="97">
        <v>1</v>
      </c>
      <c r="AL219" s="20">
        <f t="shared" si="74"/>
        <v>321</v>
      </c>
      <c r="AM219" s="115">
        <f t="shared" si="75"/>
        <v>481500000</v>
      </c>
      <c r="AN219" s="20"/>
    </row>
    <row r="220" spans="6:46">
      <c r="F220" s="94"/>
      <c r="G220" s="210" t="s">
        <v>5557</v>
      </c>
      <c r="H220" s="111">
        <v>2281961.458596</v>
      </c>
      <c r="P220" s="112"/>
      <c r="Q220" s="19" t="s">
        <v>4965</v>
      </c>
      <c r="R220" s="19" t="s">
        <v>5673</v>
      </c>
      <c r="S220" s="115">
        <v>-1500000</v>
      </c>
      <c r="T220" s="210" t="s">
        <v>4900</v>
      </c>
      <c r="U220" s="210">
        <v>4435</v>
      </c>
      <c r="V220" s="111">
        <v>316.4375</v>
      </c>
      <c r="W220" s="111">
        <f t="shared" si="63"/>
        <v>1403400.3125</v>
      </c>
      <c r="X220" s="97" t="s">
        <v>452</v>
      </c>
      <c r="AH220" s="97">
        <v>200</v>
      </c>
      <c r="AI220" s="111" t="s">
        <v>5290</v>
      </c>
      <c r="AJ220" s="111">
        <v>30000000</v>
      </c>
      <c r="AK220" s="97">
        <v>33</v>
      </c>
      <c r="AL220" s="20">
        <f t="shared" si="74"/>
        <v>320</v>
      </c>
      <c r="AM220" s="115">
        <f t="shared" si="75"/>
        <v>9600000000</v>
      </c>
      <c r="AN220" s="20"/>
    </row>
    <row r="221" spans="6:46">
      <c r="F221" s="94"/>
      <c r="G221" s="210" t="s">
        <v>5564</v>
      </c>
      <c r="H221" s="111">
        <v>10998285</v>
      </c>
      <c r="K221" t="s">
        <v>25</v>
      </c>
      <c r="Q221" s="187" t="s">
        <v>5693</v>
      </c>
      <c r="R221" s="187" t="s">
        <v>5673</v>
      </c>
      <c r="S221" s="186">
        <v>-15000000</v>
      </c>
      <c r="T221" s="210" t="s">
        <v>4903</v>
      </c>
      <c r="U221" s="210">
        <v>624</v>
      </c>
      <c r="V221" s="111">
        <v>320.5</v>
      </c>
      <c r="W221" s="111">
        <f t="shared" si="63"/>
        <v>199992</v>
      </c>
      <c r="X221" s="97" t="s">
        <v>452</v>
      </c>
      <c r="AH221" s="97">
        <v>201</v>
      </c>
      <c r="AI221" s="111" t="s">
        <v>5365</v>
      </c>
      <c r="AJ221" s="111">
        <v>3000000</v>
      </c>
      <c r="AK221" s="97">
        <v>1</v>
      </c>
      <c r="AL221" s="20">
        <f t="shared" si="74"/>
        <v>287</v>
      </c>
      <c r="AM221" s="115">
        <f t="shared" si="75"/>
        <v>861000000</v>
      </c>
      <c r="AN221" s="20"/>
    </row>
    <row r="222" spans="6:46">
      <c r="F222" s="94"/>
      <c r="G222" s="210" t="s">
        <v>5565</v>
      </c>
      <c r="H222" s="111">
        <v>983018.96187300002</v>
      </c>
      <c r="J222" t="s">
        <v>25</v>
      </c>
      <c r="Q222" s="187" t="s">
        <v>5692</v>
      </c>
      <c r="R222" s="187" t="s">
        <v>5673</v>
      </c>
      <c r="S222" s="186">
        <v>15000000</v>
      </c>
      <c r="T222" s="210" t="s">
        <v>4908</v>
      </c>
      <c r="U222" s="210">
        <v>1086</v>
      </c>
      <c r="V222" s="111">
        <v>317.55</v>
      </c>
      <c r="W222" s="111">
        <f t="shared" si="63"/>
        <v>344859.3</v>
      </c>
      <c r="X222" s="97" t="s">
        <v>452</v>
      </c>
      <c r="AH222" s="97">
        <v>202</v>
      </c>
      <c r="AI222" s="111" t="s">
        <v>5366</v>
      </c>
      <c r="AJ222" s="111">
        <v>7000000</v>
      </c>
      <c r="AK222" s="97">
        <v>4</v>
      </c>
      <c r="AL222" s="20">
        <f t="shared" si="74"/>
        <v>286</v>
      </c>
      <c r="AM222" s="115">
        <f t="shared" si="75"/>
        <v>2002000000</v>
      </c>
      <c r="AN222" s="20"/>
    </row>
    <row r="223" spans="6:46">
      <c r="F223" s="94"/>
      <c r="G223" s="210" t="s">
        <v>5567</v>
      </c>
      <c r="H223" s="111">
        <v>17049271.032000002</v>
      </c>
      <c r="I223" s="94"/>
      <c r="J223" t="s">
        <v>25</v>
      </c>
      <c r="P223" s="112" t="s">
        <v>25</v>
      </c>
      <c r="Q223" s="187" t="s">
        <v>5711</v>
      </c>
      <c r="R223" s="187" t="s">
        <v>5704</v>
      </c>
      <c r="S223" s="186">
        <v>-1500000</v>
      </c>
      <c r="T223" s="210" t="s">
        <v>4913</v>
      </c>
      <c r="U223" s="210">
        <v>2820</v>
      </c>
      <c r="V223" s="111">
        <v>319.1096</v>
      </c>
      <c r="W223" s="111">
        <f t="shared" si="63"/>
        <v>899889.07200000004</v>
      </c>
      <c r="X223" s="97" t="s">
        <v>452</v>
      </c>
      <c r="AH223" s="97">
        <v>203</v>
      </c>
      <c r="AI223" s="111" t="s">
        <v>5379</v>
      </c>
      <c r="AJ223" s="111">
        <v>8800000</v>
      </c>
      <c r="AK223" s="97">
        <v>2</v>
      </c>
      <c r="AL223" s="20">
        <f t="shared" si="74"/>
        <v>282</v>
      </c>
      <c r="AM223" s="115">
        <f t="shared" si="75"/>
        <v>2481600000</v>
      </c>
      <c r="AN223" s="20"/>
    </row>
    <row r="224" spans="6:46" ht="28.5" customHeight="1">
      <c r="F224" s="94"/>
      <c r="G224" s="210" t="s">
        <v>5570</v>
      </c>
      <c r="H224" s="111">
        <v>6829998</v>
      </c>
      <c r="I224" s="94"/>
      <c r="P224" s="112"/>
      <c r="Q224" s="187" t="s">
        <v>5793</v>
      </c>
      <c r="R224" s="187" t="s">
        <v>5789</v>
      </c>
      <c r="S224" s="186">
        <v>-20000</v>
      </c>
      <c r="T224" s="210" t="s">
        <v>4916</v>
      </c>
      <c r="U224" s="210">
        <v>1145</v>
      </c>
      <c r="V224" s="111">
        <v>325.44</v>
      </c>
      <c r="W224" s="111">
        <f t="shared" si="63"/>
        <v>372628.8</v>
      </c>
      <c r="X224" s="97" t="s">
        <v>452</v>
      </c>
      <c r="Y224" t="s">
        <v>25</v>
      </c>
      <c r="AH224" s="97">
        <v>204</v>
      </c>
      <c r="AI224" s="111" t="s">
        <v>5384</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t="s">
        <v>5803</v>
      </c>
      <c r="R225" s="187" t="s">
        <v>5800</v>
      </c>
      <c r="S225" s="186">
        <v>-70000</v>
      </c>
      <c r="T225" s="210" t="s">
        <v>4924</v>
      </c>
      <c r="U225" s="210">
        <v>20153</v>
      </c>
      <c r="V225" s="111">
        <v>322</v>
      </c>
      <c r="W225" s="111">
        <f t="shared" si="63"/>
        <v>6489266</v>
      </c>
      <c r="X225" s="97" t="s">
        <v>452</v>
      </c>
      <c r="AH225" s="97">
        <v>205</v>
      </c>
      <c r="AI225" s="111" t="s">
        <v>5399</v>
      </c>
      <c r="AJ225" s="111">
        <v>400000</v>
      </c>
      <c r="AK225" s="97">
        <v>17</v>
      </c>
      <c r="AL225" s="20">
        <f t="shared" si="74"/>
        <v>272</v>
      </c>
      <c r="AM225" s="115">
        <f t="shared" si="75"/>
        <v>108800000</v>
      </c>
      <c r="AN225" s="20"/>
      <c r="AR225" t="s">
        <v>25</v>
      </c>
    </row>
    <row r="226" spans="4:45">
      <c r="F226" s="94"/>
      <c r="G226" s="210" t="s">
        <v>5592</v>
      </c>
      <c r="H226" s="111">
        <v>7510131.0216000006</v>
      </c>
      <c r="I226" s="94"/>
      <c r="J226" t="s">
        <v>25</v>
      </c>
      <c r="Q226" s="187" t="s">
        <v>5804</v>
      </c>
      <c r="R226" s="187" t="s">
        <v>5800</v>
      </c>
      <c r="S226" s="186">
        <v>-70000</v>
      </c>
      <c r="T226" s="210" t="s">
        <v>4934</v>
      </c>
      <c r="U226" s="210">
        <v>93720</v>
      </c>
      <c r="V226" s="111">
        <v>325.435</v>
      </c>
      <c r="W226" s="111">
        <f t="shared" si="63"/>
        <v>30499768.199999999</v>
      </c>
      <c r="X226" s="97" t="s">
        <v>1071</v>
      </c>
      <c r="AH226" s="97">
        <v>206</v>
      </c>
      <c r="AI226" s="111" t="s">
        <v>5419</v>
      </c>
      <c r="AJ226" s="111">
        <v>-20000000</v>
      </c>
      <c r="AK226" s="97">
        <v>18</v>
      </c>
      <c r="AL226" s="20">
        <f t="shared" si="74"/>
        <v>255</v>
      </c>
      <c r="AM226" s="115">
        <f t="shared" si="75"/>
        <v>-5100000000</v>
      </c>
      <c r="AN226" s="20" t="s">
        <v>4990</v>
      </c>
    </row>
    <row r="227" spans="4:45">
      <c r="D227" s="94"/>
      <c r="E227" s="94"/>
      <c r="G227" s="210" t="s">
        <v>5598</v>
      </c>
      <c r="H227" s="111">
        <v>10397191</v>
      </c>
      <c r="J227" t="s">
        <v>25</v>
      </c>
      <c r="K227" t="s">
        <v>25</v>
      </c>
      <c r="Q227" s="187" t="s">
        <v>5811</v>
      </c>
      <c r="R227" s="187" t="s">
        <v>5808</v>
      </c>
      <c r="S227" s="186">
        <v>-350000</v>
      </c>
      <c r="T227" s="210" t="s">
        <v>4934</v>
      </c>
      <c r="U227" s="210">
        <v>20895</v>
      </c>
      <c r="V227" s="111">
        <v>325.435</v>
      </c>
      <c r="W227" s="111">
        <f t="shared" si="63"/>
        <v>6799964.3250000002</v>
      </c>
      <c r="X227" s="97" t="s">
        <v>744</v>
      </c>
      <c r="AH227" s="97">
        <v>207</v>
      </c>
      <c r="AI227" s="111" t="s">
        <v>5433</v>
      </c>
      <c r="AJ227" s="111">
        <v>3006000</v>
      </c>
      <c r="AK227" s="97">
        <v>19</v>
      </c>
      <c r="AL227" s="20">
        <f t="shared" si="74"/>
        <v>237</v>
      </c>
      <c r="AM227" s="115">
        <f t="shared" si="75"/>
        <v>712422000</v>
      </c>
      <c r="AN227" s="20"/>
    </row>
    <row r="228" spans="4:45">
      <c r="D228" s="94"/>
      <c r="E228" s="94"/>
      <c r="G228" s="210" t="s">
        <v>5607</v>
      </c>
      <c r="H228" s="111">
        <v>195059.35799999998</v>
      </c>
      <c r="J228" t="s">
        <v>25</v>
      </c>
      <c r="Q228" s="187" t="s">
        <v>5811</v>
      </c>
      <c r="R228" s="187" t="s">
        <v>5808</v>
      </c>
      <c r="S228" s="186">
        <v>350000</v>
      </c>
      <c r="T228" s="210" t="s">
        <v>4943</v>
      </c>
      <c r="U228" s="210">
        <v>2611</v>
      </c>
      <c r="V228" s="111">
        <v>325.435</v>
      </c>
      <c r="W228" s="111">
        <f t="shared" si="63"/>
        <v>849710.78500000003</v>
      </c>
      <c r="X228" s="97" t="s">
        <v>744</v>
      </c>
      <c r="AA228" t="s">
        <v>25</v>
      </c>
      <c r="AH228" s="97">
        <v>208</v>
      </c>
      <c r="AI228" s="111" t="s">
        <v>5327</v>
      </c>
      <c r="AJ228" s="111">
        <v>-130382924</v>
      </c>
      <c r="AK228" s="97">
        <v>0</v>
      </c>
      <c r="AL228" s="20">
        <f t="shared" si="74"/>
        <v>218</v>
      </c>
      <c r="AM228" s="115">
        <f t="shared" si="75"/>
        <v>-28423477432</v>
      </c>
      <c r="AN228" s="20" t="s">
        <v>5457</v>
      </c>
      <c r="AR228" t="s">
        <v>25</v>
      </c>
    </row>
    <row r="229" spans="4:45">
      <c r="D229" s="94"/>
      <c r="E229" s="94"/>
      <c r="G229" s="210" t="s">
        <v>5612</v>
      </c>
      <c r="H229" s="111">
        <v>744082</v>
      </c>
      <c r="Q229" s="187" t="s">
        <v>5814</v>
      </c>
      <c r="R229" s="187" t="s">
        <v>5808</v>
      </c>
      <c r="S229" s="186">
        <v>1300000</v>
      </c>
      <c r="T229" s="210" t="s">
        <v>4952</v>
      </c>
      <c r="U229" s="210">
        <v>6750</v>
      </c>
      <c r="V229" s="111">
        <v>339.3</v>
      </c>
      <c r="W229" s="111">
        <f t="shared" si="63"/>
        <v>2290275</v>
      </c>
      <c r="X229" s="97" t="s">
        <v>744</v>
      </c>
      <c r="AH229" s="97">
        <v>209</v>
      </c>
      <c r="AI229" s="111" t="s">
        <v>5327</v>
      </c>
      <c r="AJ229" s="111">
        <v>125000000</v>
      </c>
      <c r="AK229" s="97">
        <v>1</v>
      </c>
      <c r="AL229" s="20">
        <f t="shared" si="74"/>
        <v>218</v>
      </c>
      <c r="AM229" s="115">
        <f t="shared" si="75"/>
        <v>27250000000</v>
      </c>
      <c r="AN229" s="20"/>
      <c r="AR229" t="s">
        <v>25</v>
      </c>
    </row>
    <row r="230" spans="4:45">
      <c r="D230" s="94"/>
      <c r="E230" s="94"/>
      <c r="G230" s="210" t="s">
        <v>5614</v>
      </c>
      <c r="H230" s="111">
        <v>920308.446</v>
      </c>
      <c r="Q230" s="187"/>
      <c r="R230" s="187" t="s">
        <v>5824</v>
      </c>
      <c r="S230" s="186">
        <v>90000000</v>
      </c>
      <c r="T230" s="210" t="s">
        <v>4960</v>
      </c>
      <c r="U230" s="210">
        <v>1850</v>
      </c>
      <c r="V230" s="111">
        <v>334.10050000000001</v>
      </c>
      <c r="W230" s="111">
        <f t="shared" si="63"/>
        <v>618085.92500000005</v>
      </c>
      <c r="X230" s="97" t="s">
        <v>452</v>
      </c>
      <c r="Y230" t="s">
        <v>25</v>
      </c>
      <c r="AH230" s="97">
        <v>210</v>
      </c>
      <c r="AI230" s="111" t="s">
        <v>5456</v>
      </c>
      <c r="AJ230" s="111">
        <v>7200000</v>
      </c>
      <c r="AK230" s="97">
        <v>15</v>
      </c>
      <c r="AL230" s="20">
        <f t="shared" si="74"/>
        <v>217</v>
      </c>
      <c r="AM230" s="115">
        <f t="shared" si="75"/>
        <v>1562400000</v>
      </c>
      <c r="AN230" s="20"/>
      <c r="AQ230" t="s">
        <v>25</v>
      </c>
      <c r="AS230" t="s">
        <v>25</v>
      </c>
    </row>
    <row r="231" spans="4:45">
      <c r="D231" s="94"/>
      <c r="E231" s="94"/>
      <c r="G231" s="210" t="s">
        <v>5615</v>
      </c>
      <c r="H231" s="111">
        <v>4635809.8416840006</v>
      </c>
      <c r="Q231" s="187"/>
      <c r="R231" s="187"/>
      <c r="S231" s="186"/>
      <c r="T231" s="210" t="s">
        <v>4960</v>
      </c>
      <c r="U231" s="210">
        <v>-1194</v>
      </c>
      <c r="V231" s="111">
        <v>335</v>
      </c>
      <c r="W231" s="111">
        <f t="shared" si="63"/>
        <v>-399990</v>
      </c>
      <c r="X231" s="97" t="s">
        <v>4410</v>
      </c>
      <c r="Y231" t="s">
        <v>25</v>
      </c>
      <c r="AH231" s="97">
        <v>211</v>
      </c>
      <c r="AI231" s="111" t="s">
        <v>5479</v>
      </c>
      <c r="AJ231" s="111">
        <v>2050000</v>
      </c>
      <c r="AK231" s="97">
        <v>7</v>
      </c>
      <c r="AL231" s="20">
        <f t="shared" si="74"/>
        <v>202</v>
      </c>
      <c r="AM231" s="115">
        <f t="shared" si="75"/>
        <v>414100000</v>
      </c>
      <c r="AN231" s="20"/>
      <c r="AR231" t="s">
        <v>25</v>
      </c>
      <c r="AS231" t="s">
        <v>25</v>
      </c>
    </row>
    <row r="232" spans="4:45">
      <c r="D232" s="94"/>
      <c r="E232" s="94"/>
      <c r="G232" s="210" t="s">
        <v>5645</v>
      </c>
      <c r="H232" s="111">
        <v>58508002.009000003</v>
      </c>
      <c r="J232" t="s">
        <v>25</v>
      </c>
      <c r="K232" t="s">
        <v>25</v>
      </c>
      <c r="Q232" s="19"/>
      <c r="R232" s="19"/>
      <c r="S232" s="115"/>
      <c r="T232" s="210" t="s">
        <v>4960</v>
      </c>
      <c r="U232" s="210">
        <v>1194</v>
      </c>
      <c r="V232" s="111">
        <v>335</v>
      </c>
      <c r="W232" s="111">
        <f t="shared" si="63"/>
        <v>399990</v>
      </c>
      <c r="X232" s="97" t="s">
        <v>744</v>
      </c>
      <c r="AH232" s="97">
        <v>212</v>
      </c>
      <c r="AI232" s="111" t="s">
        <v>5500</v>
      </c>
      <c r="AJ232" s="111">
        <v>50000000</v>
      </c>
      <c r="AK232" s="97">
        <v>24</v>
      </c>
      <c r="AL232" s="20">
        <f t="shared" si="74"/>
        <v>195</v>
      </c>
      <c r="AM232" s="115">
        <f t="shared" si="75"/>
        <v>9750000000</v>
      </c>
      <c r="AN232" s="20" t="s">
        <v>4689</v>
      </c>
    </row>
    <row r="233" spans="4:45">
      <c r="D233" s="94"/>
      <c r="E233" s="94"/>
      <c r="G233" s="210" t="s">
        <v>5647</v>
      </c>
      <c r="H233" s="111">
        <v>2245515.5410799999</v>
      </c>
      <c r="J233" t="s">
        <v>25</v>
      </c>
      <c r="Q233" s="210" t="s">
        <v>25</v>
      </c>
      <c r="R233" s="210"/>
      <c r="S233" s="111"/>
      <c r="T233" s="210" t="s">
        <v>4967</v>
      </c>
      <c r="U233" s="210">
        <v>433</v>
      </c>
      <c r="V233" s="111">
        <v>345.68</v>
      </c>
      <c r="W233" s="111">
        <f t="shared" si="63"/>
        <v>149679.44</v>
      </c>
      <c r="X233" s="97" t="s">
        <v>744</v>
      </c>
      <c r="AH233" s="97">
        <v>213</v>
      </c>
      <c r="AI233" s="111" t="s">
        <v>5545</v>
      </c>
      <c r="AJ233" s="111">
        <v>-58196600</v>
      </c>
      <c r="AK233" s="97">
        <v>22</v>
      </c>
      <c r="AL233" s="20">
        <f t="shared" si="74"/>
        <v>171</v>
      </c>
      <c r="AM233" s="115">
        <f t="shared" si="75"/>
        <v>-9951618600</v>
      </c>
      <c r="AN233" s="20" t="s">
        <v>4879</v>
      </c>
    </row>
    <row r="234" spans="4:45">
      <c r="G234" s="210" t="s">
        <v>5649</v>
      </c>
      <c r="H234" s="111">
        <v>18404699.3442</v>
      </c>
      <c r="Q234" s="210"/>
      <c r="R234" s="210"/>
      <c r="S234" s="111">
        <f>SUM(S174:S233)</f>
        <v>76858365.693000004</v>
      </c>
      <c r="T234" s="210" t="s">
        <v>4971</v>
      </c>
      <c r="U234" s="210">
        <v>55459</v>
      </c>
      <c r="V234" s="111">
        <v>362.51978000000003</v>
      </c>
      <c r="W234" s="111">
        <f t="shared" si="63"/>
        <v>20104984.479020003</v>
      </c>
      <c r="X234" s="97" t="s">
        <v>452</v>
      </c>
      <c r="AH234" s="97">
        <v>214</v>
      </c>
      <c r="AI234" s="111" t="s">
        <v>5590</v>
      </c>
      <c r="AJ234" s="111">
        <v>25000</v>
      </c>
      <c r="AK234" s="97">
        <v>8</v>
      </c>
      <c r="AL234" s="20">
        <f t="shared" si="74"/>
        <v>149</v>
      </c>
      <c r="AM234" s="115">
        <f t="shared" si="75"/>
        <v>3725000</v>
      </c>
      <c r="AN234" s="20"/>
    </row>
    <row r="235" spans="4:45">
      <c r="G235" s="210" t="s">
        <v>5652</v>
      </c>
      <c r="H235" s="111">
        <v>2264658.5922190002</v>
      </c>
      <c r="Q235" s="41"/>
      <c r="R235" s="210"/>
      <c r="S235" s="210" t="s">
        <v>6</v>
      </c>
      <c r="T235" s="210" t="s">
        <v>4975</v>
      </c>
      <c r="U235" s="210">
        <v>-57212</v>
      </c>
      <c r="V235" s="111">
        <v>368.45400000000001</v>
      </c>
      <c r="W235" s="111">
        <f t="shared" si="63"/>
        <v>-21079990.248</v>
      </c>
      <c r="X235" s="97" t="s">
        <v>452</v>
      </c>
      <c r="AH235" s="97">
        <v>215</v>
      </c>
      <c r="AI235" s="111" t="s">
        <v>5612</v>
      </c>
      <c r="AJ235" s="111">
        <v>70000</v>
      </c>
      <c r="AK235" s="97">
        <v>6</v>
      </c>
      <c r="AL235" s="20">
        <f t="shared" si="74"/>
        <v>141</v>
      </c>
      <c r="AM235" s="115">
        <f t="shared" si="75"/>
        <v>9870000</v>
      </c>
      <c r="AN235" s="20"/>
    </row>
    <row r="236" spans="4:45">
      <c r="G236" s="210" t="s">
        <v>5654</v>
      </c>
      <c r="H236" s="111">
        <v>22877413.789960001</v>
      </c>
      <c r="Q236" s="94"/>
      <c r="T236" s="210" t="s">
        <v>4976</v>
      </c>
      <c r="U236" s="210">
        <v>-15881</v>
      </c>
      <c r="V236" s="111">
        <v>374.61599999999999</v>
      </c>
      <c r="W236" s="111">
        <f t="shared" si="63"/>
        <v>-5949276.6959999995</v>
      </c>
      <c r="X236" s="97" t="s">
        <v>452</v>
      </c>
      <c r="AH236" s="97">
        <v>216</v>
      </c>
      <c r="AI236" s="111" t="s">
        <v>5617</v>
      </c>
      <c r="AJ236" s="111">
        <v>70000</v>
      </c>
      <c r="AK236" s="97">
        <v>1</v>
      </c>
      <c r="AL236" s="20">
        <f t="shared" si="74"/>
        <v>135</v>
      </c>
      <c r="AM236" s="115">
        <f t="shared" si="75"/>
        <v>9450000</v>
      </c>
      <c r="AN236" s="20"/>
      <c r="AR236" t="s">
        <v>25</v>
      </c>
    </row>
    <row r="237" spans="4:45">
      <c r="G237" s="210" t="s">
        <v>5657</v>
      </c>
      <c r="H237" s="111">
        <v>2362539.4373280001</v>
      </c>
      <c r="Q237" s="94" t="s">
        <v>25</v>
      </c>
      <c r="R237" s="94" t="s">
        <v>25</v>
      </c>
      <c r="T237" s="210" t="s">
        <v>4982</v>
      </c>
      <c r="U237" s="210">
        <v>-41289</v>
      </c>
      <c r="V237" s="111">
        <v>372.27</v>
      </c>
      <c r="W237" s="111">
        <f t="shared" si="63"/>
        <v>-15370656.029999999</v>
      </c>
      <c r="X237" s="97" t="s">
        <v>452</v>
      </c>
      <c r="AH237" s="97">
        <v>217</v>
      </c>
      <c r="AI237" s="111" t="s">
        <v>5606</v>
      </c>
      <c r="AJ237" s="111">
        <v>150000</v>
      </c>
      <c r="AK237" s="97">
        <v>0</v>
      </c>
      <c r="AL237" s="20">
        <f t="shared" si="74"/>
        <v>134</v>
      </c>
      <c r="AM237" s="115">
        <f t="shared" si="75"/>
        <v>20100000</v>
      </c>
      <c r="AN237" s="20"/>
      <c r="AQ237" t="s">
        <v>25</v>
      </c>
      <c r="AS237" t="s">
        <v>25</v>
      </c>
    </row>
    <row r="238" spans="4:45">
      <c r="G238" s="210" t="s">
        <v>5658</v>
      </c>
      <c r="H238" s="111">
        <v>16042676.656608</v>
      </c>
      <c r="Q238" s="94" t="s">
        <v>25</v>
      </c>
      <c r="R238" s="94" t="s">
        <v>25</v>
      </c>
      <c r="S238" t="s">
        <v>25</v>
      </c>
      <c r="T238" s="210" t="s">
        <v>4988</v>
      </c>
      <c r="U238" s="210">
        <v>13563</v>
      </c>
      <c r="V238" s="111">
        <v>365.69799999999998</v>
      </c>
      <c r="W238" s="111">
        <f t="shared" si="63"/>
        <v>4959961.9739999995</v>
      </c>
      <c r="X238" s="97" t="s">
        <v>452</v>
      </c>
      <c r="AH238" s="97">
        <v>218</v>
      </c>
      <c r="AI238" s="111" t="s">
        <v>5606</v>
      </c>
      <c r="AJ238" s="111">
        <v>-95599450</v>
      </c>
      <c r="AK238" s="97">
        <v>7</v>
      </c>
      <c r="AL238" s="20">
        <f t="shared" si="74"/>
        <v>134</v>
      </c>
      <c r="AM238" s="115">
        <f t="shared" si="75"/>
        <v>-12810326300</v>
      </c>
      <c r="AN238" s="20" t="s">
        <v>5620</v>
      </c>
      <c r="AR238" t="s">
        <v>25</v>
      </c>
    </row>
    <row r="239" spans="4:45">
      <c r="G239" s="210" t="s">
        <v>5659</v>
      </c>
      <c r="H239" s="111">
        <v>18403291.448284</v>
      </c>
      <c r="J239" t="s">
        <v>25</v>
      </c>
      <c r="S239" t="s">
        <v>25</v>
      </c>
      <c r="T239" s="210" t="s">
        <v>4988</v>
      </c>
      <c r="U239" s="210">
        <v>27344</v>
      </c>
      <c r="V239" s="111">
        <v>365.69799999999998</v>
      </c>
      <c r="W239" s="111">
        <f t="shared" si="63"/>
        <v>9999646.1119999997</v>
      </c>
      <c r="X239" s="97" t="s">
        <v>452</v>
      </c>
      <c r="AH239" s="97">
        <v>219</v>
      </c>
      <c r="AI239" s="111" t="s">
        <v>5628</v>
      </c>
      <c r="AJ239" s="111">
        <v>200000</v>
      </c>
      <c r="AK239" s="97">
        <v>7</v>
      </c>
      <c r="AL239" s="20">
        <f t="shared" si="74"/>
        <v>127</v>
      </c>
      <c r="AM239" s="115">
        <f t="shared" si="75"/>
        <v>25400000</v>
      </c>
      <c r="AN239" s="20"/>
      <c r="AR239" t="s">
        <v>25</v>
      </c>
    </row>
    <row r="240" spans="4:45" ht="30">
      <c r="G240" s="210" t="s">
        <v>5662</v>
      </c>
      <c r="H240" s="111">
        <v>10561447.246918</v>
      </c>
      <c r="J240" t="s">
        <v>25</v>
      </c>
      <c r="Q240" s="97" t="s">
        <v>744</v>
      </c>
      <c r="R240" s="97"/>
      <c r="S240" t="s">
        <v>25</v>
      </c>
      <c r="T240" s="210" t="s">
        <v>4995</v>
      </c>
      <c r="U240" s="210">
        <v>-103145</v>
      </c>
      <c r="V240" s="111">
        <v>393.334</v>
      </c>
      <c r="W240" s="111">
        <f t="shared" si="63"/>
        <v>-40570435.43</v>
      </c>
      <c r="X240" s="36" t="s">
        <v>5000</v>
      </c>
      <c r="AH240" s="97">
        <v>220</v>
      </c>
      <c r="AI240" s="111" t="s">
        <v>5633</v>
      </c>
      <c r="AJ240" s="111">
        <v>150000</v>
      </c>
      <c r="AK240" s="97">
        <v>5</v>
      </c>
      <c r="AL240" s="20">
        <f t="shared" si="74"/>
        <v>120</v>
      </c>
      <c r="AM240" s="115">
        <f t="shared" si="75"/>
        <v>18000000</v>
      </c>
      <c r="AN240" s="20"/>
    </row>
    <row r="241" spans="7:44">
      <c r="G241" s="210" t="s">
        <v>5663</v>
      </c>
      <c r="H241" s="111">
        <v>1226811.9176660001</v>
      </c>
      <c r="P241" t="s">
        <v>25</v>
      </c>
      <c r="Q241" s="97" t="s">
        <v>4403</v>
      </c>
      <c r="R241" s="93">
        <v>172908000</v>
      </c>
      <c r="T241" s="210" t="s">
        <v>4995</v>
      </c>
      <c r="U241" s="210">
        <v>-369</v>
      </c>
      <c r="V241" s="111">
        <v>393.334</v>
      </c>
      <c r="W241" s="111">
        <f t="shared" si="63"/>
        <v>-145140.24600000001</v>
      </c>
      <c r="X241" s="36" t="s">
        <v>5074</v>
      </c>
      <c r="AH241" s="97">
        <v>221</v>
      </c>
      <c r="AI241" s="111" t="s">
        <v>5637</v>
      </c>
      <c r="AJ241" s="111">
        <v>310000</v>
      </c>
      <c r="AK241" s="97">
        <v>31</v>
      </c>
      <c r="AL241" s="20">
        <f t="shared" si="74"/>
        <v>115</v>
      </c>
      <c r="AM241" s="115">
        <f t="shared" si="75"/>
        <v>35650000</v>
      </c>
      <c r="AN241" s="20"/>
      <c r="AR241" t="s">
        <v>25</v>
      </c>
    </row>
    <row r="242" spans="7:44">
      <c r="G242" s="210" t="s">
        <v>5664</v>
      </c>
      <c r="H242" s="111">
        <v>39373959.190266006</v>
      </c>
      <c r="Q242" s="97" t="s">
        <v>4436</v>
      </c>
      <c r="R242" s="93">
        <v>1400000</v>
      </c>
      <c r="T242" s="210" t="s">
        <v>4995</v>
      </c>
      <c r="U242" s="210">
        <v>-889</v>
      </c>
      <c r="V242" s="111">
        <v>393.334</v>
      </c>
      <c r="W242" s="111">
        <f t="shared" si="63"/>
        <v>-349673.92599999998</v>
      </c>
      <c r="X242" s="36" t="s">
        <v>5075</v>
      </c>
      <c r="AH242" s="97">
        <v>222</v>
      </c>
      <c r="AI242" s="111" t="s">
        <v>5673</v>
      </c>
      <c r="AJ242" s="111">
        <v>4200000</v>
      </c>
      <c r="AK242" s="97">
        <v>53</v>
      </c>
      <c r="AL242" s="20">
        <f t="shared" si="74"/>
        <v>84</v>
      </c>
      <c r="AM242" s="115">
        <f t="shared" si="75"/>
        <v>352800000</v>
      </c>
      <c r="AN242" s="20"/>
    </row>
    <row r="243" spans="7:44">
      <c r="G243" s="210" t="s">
        <v>5669</v>
      </c>
      <c r="H243" s="111">
        <v>27703487.063980002</v>
      </c>
      <c r="J243" t="s">
        <v>25</v>
      </c>
      <c r="Q243" s="97" t="s">
        <v>4209</v>
      </c>
      <c r="R243" s="93">
        <v>247393</v>
      </c>
      <c r="S243" t="s">
        <v>25</v>
      </c>
      <c r="T243" s="210" t="s">
        <v>5004</v>
      </c>
      <c r="U243" s="210">
        <v>2546</v>
      </c>
      <c r="V243" s="111">
        <v>393</v>
      </c>
      <c r="W243" s="111">
        <f t="shared" si="63"/>
        <v>1000578</v>
      </c>
      <c r="X243" s="36" t="s">
        <v>452</v>
      </c>
      <c r="AH243" s="97">
        <v>223</v>
      </c>
      <c r="AI243" s="111" t="s">
        <v>5753</v>
      </c>
      <c r="AJ243" s="111">
        <v>260000000</v>
      </c>
      <c r="AK243" s="97">
        <v>22</v>
      </c>
      <c r="AL243" s="20">
        <f t="shared" si="74"/>
        <v>31</v>
      </c>
      <c r="AM243" s="115">
        <f t="shared" si="75"/>
        <v>8060000000</v>
      </c>
      <c r="AN243" s="20" t="s">
        <v>5755</v>
      </c>
    </row>
    <row r="244" spans="7:44">
      <c r="G244" s="210" t="s">
        <v>5670</v>
      </c>
      <c r="H244" s="111">
        <v>8738896.6890719999</v>
      </c>
      <c r="O244" t="s">
        <v>25</v>
      </c>
      <c r="Q244" s="97" t="s">
        <v>4208</v>
      </c>
      <c r="R244" s="93">
        <v>6780000</v>
      </c>
      <c r="T244" s="210" t="s">
        <v>5005</v>
      </c>
      <c r="U244" s="210">
        <v>1034</v>
      </c>
      <c r="V244" s="111">
        <v>386.608</v>
      </c>
      <c r="W244" s="111">
        <f t="shared" si="63"/>
        <v>399752.67200000002</v>
      </c>
      <c r="X244" s="36" t="s">
        <v>452</v>
      </c>
      <c r="AH244" s="97">
        <v>224</v>
      </c>
      <c r="AI244" s="111" t="s">
        <v>5789</v>
      </c>
      <c r="AJ244" s="111">
        <v>20000</v>
      </c>
      <c r="AK244" s="97">
        <v>7</v>
      </c>
      <c r="AL244" s="20">
        <f t="shared" si="74"/>
        <v>9</v>
      </c>
      <c r="AM244" s="115">
        <f t="shared" si="75"/>
        <v>180000</v>
      </c>
      <c r="AN244" s="20"/>
      <c r="AP244" t="s">
        <v>25</v>
      </c>
    </row>
    <row r="245" spans="7:44">
      <c r="G245" s="210" t="s">
        <v>4186</v>
      </c>
      <c r="H245" s="111">
        <v>348201.66738</v>
      </c>
      <c r="J245" t="s">
        <v>25</v>
      </c>
      <c r="Q245" s="97" t="s">
        <v>4538</v>
      </c>
      <c r="R245" s="93">
        <v>-4000000</v>
      </c>
      <c r="T245" s="210" t="s">
        <v>5012</v>
      </c>
      <c r="U245" s="210">
        <v>300</v>
      </c>
      <c r="V245" s="111">
        <v>400</v>
      </c>
      <c r="W245" s="111">
        <f t="shared" si="63"/>
        <v>120000</v>
      </c>
      <c r="X245" s="36" t="s">
        <v>452</v>
      </c>
      <c r="AH245" s="97">
        <v>225</v>
      </c>
      <c r="AI245" s="111" t="s">
        <v>5800</v>
      </c>
      <c r="AJ245" s="111">
        <v>70000</v>
      </c>
      <c r="AK245" s="97">
        <v>1</v>
      </c>
      <c r="AL245" s="20">
        <f t="shared" si="74"/>
        <v>2</v>
      </c>
      <c r="AM245" s="115">
        <f t="shared" si="75"/>
        <v>140000</v>
      </c>
      <c r="AN245" s="20"/>
    </row>
    <row r="246" spans="7:44">
      <c r="G246" s="210" t="s">
        <v>5672</v>
      </c>
      <c r="H246" s="111">
        <v>4158090.8935679998</v>
      </c>
      <c r="J246" t="s">
        <v>25</v>
      </c>
      <c r="Q246" s="97" t="s">
        <v>4564</v>
      </c>
      <c r="R246" s="93">
        <v>16727037</v>
      </c>
      <c r="T246" s="210" t="s">
        <v>5021</v>
      </c>
      <c r="U246" s="210">
        <v>782</v>
      </c>
      <c r="V246" s="111">
        <v>409</v>
      </c>
      <c r="W246" s="111">
        <f t="shared" si="63"/>
        <v>319838</v>
      </c>
      <c r="X246" s="36" t="s">
        <v>744</v>
      </c>
      <c r="AH246" s="97">
        <v>226</v>
      </c>
      <c r="AI246" s="111" t="s">
        <v>5808</v>
      </c>
      <c r="AJ246" s="111">
        <v>330000</v>
      </c>
      <c r="AK246" s="97">
        <v>1</v>
      </c>
      <c r="AL246" s="20">
        <f t="shared" si="74"/>
        <v>1</v>
      </c>
      <c r="AM246" s="115">
        <f t="shared" si="75"/>
        <v>330000</v>
      </c>
      <c r="AN246" s="20"/>
    </row>
    <row r="247" spans="7:44">
      <c r="G247" s="210" t="s">
        <v>5677</v>
      </c>
      <c r="H247" s="111">
        <v>110770524.97879399</v>
      </c>
      <c r="O247" t="s">
        <v>25</v>
      </c>
      <c r="Q247" s="97" t="s">
        <v>4569</v>
      </c>
      <c r="R247" s="93">
        <v>46460683</v>
      </c>
      <c r="S247" t="s">
        <v>25</v>
      </c>
      <c r="T247" s="210" t="s">
        <v>5025</v>
      </c>
      <c r="U247" s="210">
        <v>1220</v>
      </c>
      <c r="V247" s="111">
        <v>409.9</v>
      </c>
      <c r="W247" s="111">
        <f t="shared" si="63"/>
        <v>500078</v>
      </c>
      <c r="X247" s="36" t="s">
        <v>744</v>
      </c>
      <c r="AH247" s="97"/>
      <c r="AI247" s="111"/>
      <c r="AJ247" s="111">
        <v>0</v>
      </c>
      <c r="AK247" s="97">
        <v>0</v>
      </c>
      <c r="AL247" s="20">
        <f>AL248+AK247</f>
        <v>0</v>
      </c>
      <c r="AM247" s="115">
        <f t="shared" si="75"/>
        <v>0</v>
      </c>
      <c r="AN247" s="20"/>
    </row>
    <row r="248" spans="7:44">
      <c r="G248" s="210" t="s">
        <v>5694</v>
      </c>
      <c r="H248" s="111">
        <v>6684147.0064600008</v>
      </c>
      <c r="P248" t="s">
        <v>25</v>
      </c>
      <c r="Q248" s="97" t="s">
        <v>4570</v>
      </c>
      <c r="R248" s="93">
        <v>19663646</v>
      </c>
      <c r="T248" s="210" t="s">
        <v>5027</v>
      </c>
      <c r="U248" s="210">
        <v>1285</v>
      </c>
      <c r="V248" s="111">
        <v>388.84</v>
      </c>
      <c r="W248" s="111">
        <f t="shared" si="63"/>
        <v>499659.39999999997</v>
      </c>
      <c r="X248" s="36" t="s">
        <v>452</v>
      </c>
      <c r="AH248" s="97"/>
      <c r="AI248" s="111"/>
      <c r="AJ248" s="111">
        <v>0</v>
      </c>
      <c r="AK248" s="97"/>
      <c r="AL248" s="20">
        <f t="shared" si="74"/>
        <v>0</v>
      </c>
      <c r="AM248" s="115">
        <f t="shared" si="75"/>
        <v>0</v>
      </c>
      <c r="AN248" s="20"/>
    </row>
    <row r="249" spans="7:44">
      <c r="G249" s="210" t="s">
        <v>5698</v>
      </c>
      <c r="H249" s="111">
        <v>1826535.2307560001</v>
      </c>
      <c r="K249" t="s">
        <v>25</v>
      </c>
      <c r="Q249" s="97" t="s">
        <v>4593</v>
      </c>
      <c r="R249" s="93">
        <v>4374525</v>
      </c>
      <c r="T249" s="210" t="s">
        <v>5017</v>
      </c>
      <c r="U249" s="210">
        <v>1924</v>
      </c>
      <c r="V249" s="111">
        <v>386.69600000000003</v>
      </c>
      <c r="W249" s="111">
        <f t="shared" si="63"/>
        <v>744003.10400000005</v>
      </c>
      <c r="X249" s="36" t="s">
        <v>452</v>
      </c>
      <c r="AH249" s="97"/>
      <c r="AI249" s="111"/>
      <c r="AJ249" s="111"/>
      <c r="AK249" s="97">
        <v>0</v>
      </c>
      <c r="AL249" s="20">
        <f t="shared" si="74"/>
        <v>0</v>
      </c>
      <c r="AM249" s="115">
        <f t="shared" si="75"/>
        <v>0</v>
      </c>
      <c r="AN249" s="20"/>
      <c r="AP249" t="s">
        <v>25</v>
      </c>
    </row>
    <row r="250" spans="7:44" ht="20.25" customHeight="1">
      <c r="G250" s="210" t="s">
        <v>5702</v>
      </c>
      <c r="H250" s="111">
        <v>3577366.94</v>
      </c>
      <c r="Q250" s="97" t="s">
        <v>4604</v>
      </c>
      <c r="R250" s="93">
        <v>6550580</v>
      </c>
      <c r="T250" s="210" t="s">
        <v>5043</v>
      </c>
      <c r="U250" s="210">
        <v>165</v>
      </c>
      <c r="V250" s="111">
        <v>393.5</v>
      </c>
      <c r="W250" s="111">
        <f t="shared" si="63"/>
        <v>64927.5</v>
      </c>
      <c r="X250" s="36" t="s">
        <v>452</v>
      </c>
      <c r="AH250" s="97"/>
      <c r="AI250" s="97"/>
      <c r="AJ250" s="93">
        <f>SUM(AJ20:AJ249)</f>
        <v>746335751</v>
      </c>
      <c r="AK250" s="97"/>
      <c r="AL250" s="97">
        <v>0</v>
      </c>
      <c r="AM250" s="93">
        <f>SUM(AM20:AM249)</f>
        <v>403294276776</v>
      </c>
      <c r="AN250" s="93">
        <f>AM250*AN253/31</f>
        <v>216829216.48469654</v>
      </c>
    </row>
    <row r="251" spans="7:44" ht="30">
      <c r="G251" s="210" t="s">
        <v>5704</v>
      </c>
      <c r="H251" s="111">
        <v>21239029.173567999</v>
      </c>
      <c r="J251" t="s">
        <v>25</v>
      </c>
      <c r="P251" t="s">
        <v>25</v>
      </c>
      <c r="Q251" s="97" t="s">
        <v>4606</v>
      </c>
      <c r="R251" s="93">
        <v>6650895</v>
      </c>
      <c r="T251" s="210" t="s">
        <v>5049</v>
      </c>
      <c r="U251" s="210">
        <v>-34859</v>
      </c>
      <c r="V251" s="111">
        <v>403.1585</v>
      </c>
      <c r="W251" s="111">
        <f t="shared" si="63"/>
        <v>-14053702.1515</v>
      </c>
      <c r="X251" s="36" t="s">
        <v>5052</v>
      </c>
      <c r="AH251" s="97"/>
      <c r="AI251" s="97"/>
      <c r="AJ251" s="97" t="s">
        <v>4043</v>
      </c>
      <c r="AK251" s="97"/>
      <c r="AL251" s="97"/>
      <c r="AM251" s="97" t="s">
        <v>284</v>
      </c>
      <c r="AN251" s="97" t="s">
        <v>928</v>
      </c>
    </row>
    <row r="252" spans="7:44">
      <c r="G252" s="210" t="s">
        <v>5709</v>
      </c>
      <c r="H252" s="111">
        <v>242957252.40163299</v>
      </c>
      <c r="Q252" s="97" t="s">
        <v>4623</v>
      </c>
      <c r="R252" s="93">
        <v>2145814</v>
      </c>
      <c r="T252" s="210" t="s">
        <v>5018</v>
      </c>
      <c r="U252" s="210">
        <v>8476</v>
      </c>
      <c r="V252" s="111">
        <v>419.49900000000002</v>
      </c>
      <c r="W252" s="111">
        <f t="shared" si="63"/>
        <v>3555673.5240000002</v>
      </c>
      <c r="X252" s="36" t="s">
        <v>5058</v>
      </c>
      <c r="AH252" s="97"/>
      <c r="AI252" s="97"/>
      <c r="AJ252" s="97"/>
      <c r="AK252" s="97"/>
      <c r="AL252" s="97"/>
      <c r="AM252" s="97"/>
      <c r="AN252" s="97"/>
    </row>
    <row r="253" spans="7:44">
      <c r="G253" s="210" t="s">
        <v>5713</v>
      </c>
      <c r="H253" s="111">
        <v>7357181.2750800001</v>
      </c>
      <c r="J253" t="s">
        <v>25</v>
      </c>
      <c r="Q253" s="97" t="s">
        <v>4634</v>
      </c>
      <c r="R253" s="93">
        <v>4369730</v>
      </c>
      <c r="T253" s="210" t="s">
        <v>5070</v>
      </c>
      <c r="U253" s="210">
        <v>903</v>
      </c>
      <c r="V253" s="111">
        <v>442.77379999999999</v>
      </c>
      <c r="W253" s="111">
        <f t="shared" si="63"/>
        <v>399824.7414</v>
      </c>
      <c r="X253" s="36" t="s">
        <v>744</v>
      </c>
      <c r="AH253" s="97"/>
      <c r="AI253" s="97"/>
      <c r="AJ253" s="97"/>
      <c r="AK253" s="97"/>
      <c r="AL253" s="97"/>
      <c r="AM253" s="97" t="s">
        <v>4044</v>
      </c>
      <c r="AN253" s="97">
        <v>1.6667000000000001E-2</v>
      </c>
      <c r="AQ253" t="s">
        <v>25</v>
      </c>
    </row>
    <row r="254" spans="7:44">
      <c r="G254" s="210" t="s">
        <v>5715</v>
      </c>
      <c r="H254" s="111">
        <v>14951411.942400001</v>
      </c>
      <c r="Q254" s="97" t="s">
        <v>4636</v>
      </c>
      <c r="R254" s="93">
        <v>8739459</v>
      </c>
      <c r="S254" t="s">
        <v>25</v>
      </c>
      <c r="T254" s="210" t="s">
        <v>5073</v>
      </c>
      <c r="U254" s="210">
        <v>113</v>
      </c>
      <c r="V254" s="111">
        <v>442.48200000000003</v>
      </c>
      <c r="W254" s="111">
        <f t="shared" ref="W254:W343" si="76">U254*V254</f>
        <v>50000.466</v>
      </c>
      <c r="X254" s="36" t="s">
        <v>744</v>
      </c>
      <c r="AH254" s="97"/>
      <c r="AI254" s="97"/>
      <c r="AJ254" s="97"/>
      <c r="AK254" s="97"/>
      <c r="AL254" s="97"/>
      <c r="AM254" s="97"/>
      <c r="AN254" s="97"/>
    </row>
    <row r="255" spans="7:44">
      <c r="G255" s="210" t="s">
        <v>5719</v>
      </c>
      <c r="H255" s="111">
        <v>47928209.377011999</v>
      </c>
      <c r="P255" t="s">
        <v>25</v>
      </c>
      <c r="Q255" s="97" t="s">
        <v>4645</v>
      </c>
      <c r="R255" s="93">
        <v>6667654</v>
      </c>
      <c r="T255" s="210" t="s">
        <v>5083</v>
      </c>
      <c r="U255" s="210">
        <v>671</v>
      </c>
      <c r="V255" s="111">
        <v>447</v>
      </c>
      <c r="W255" s="111">
        <f t="shared" si="76"/>
        <v>299937</v>
      </c>
      <c r="X255" s="36" t="s">
        <v>744</v>
      </c>
      <c r="AH255" s="97"/>
      <c r="AI255" s="97" t="s">
        <v>4045</v>
      </c>
      <c r="AJ255" s="93">
        <f>AJ250+AN250</f>
        <v>963164967.48469651</v>
      </c>
      <c r="AK255" s="97"/>
      <c r="AL255" s="97"/>
      <c r="AM255" s="97"/>
      <c r="AN255" s="97"/>
    </row>
    <row r="256" spans="7:44">
      <c r="G256" s="210" t="s">
        <v>5721</v>
      </c>
      <c r="H256" s="111">
        <v>2281595.69937</v>
      </c>
      <c r="J256" t="s">
        <v>25</v>
      </c>
      <c r="Q256" s="97" t="s">
        <v>4653</v>
      </c>
      <c r="R256" s="93">
        <v>8981245</v>
      </c>
      <c r="T256" s="210" t="s">
        <v>5085</v>
      </c>
      <c r="U256" s="210">
        <v>7</v>
      </c>
      <c r="V256" s="111">
        <v>465.31200000000001</v>
      </c>
      <c r="W256" s="111">
        <f t="shared" si="76"/>
        <v>3257.1840000000002</v>
      </c>
      <c r="X256" s="36" t="s">
        <v>452</v>
      </c>
      <c r="AI256" t="s">
        <v>4048</v>
      </c>
      <c r="AJ256" s="112">
        <f>SUM(N39:N47)</f>
        <v>5162783691.6000004</v>
      </c>
      <c r="AM256" t="s">
        <v>25</v>
      </c>
    </row>
    <row r="257" spans="7:45">
      <c r="G257" s="210" t="s">
        <v>5723</v>
      </c>
      <c r="H257" s="111">
        <v>2964916.035069</v>
      </c>
      <c r="Q257" s="97" t="s">
        <v>4657</v>
      </c>
      <c r="R257" s="93">
        <v>9181756</v>
      </c>
      <c r="T257" s="210" t="s">
        <v>5091</v>
      </c>
      <c r="U257" s="210">
        <v>12950</v>
      </c>
      <c r="V257" s="111">
        <v>463.31599999999997</v>
      </c>
      <c r="W257" s="111">
        <f t="shared" si="76"/>
        <v>5999942.1999999993</v>
      </c>
      <c r="X257" s="36" t="s">
        <v>452</v>
      </c>
      <c r="AI257" t="s">
        <v>4119</v>
      </c>
      <c r="AJ257" s="112">
        <f>AJ256-AJ250</f>
        <v>4416447940.6000004</v>
      </c>
      <c r="AM257" t="s">
        <v>25</v>
      </c>
    </row>
    <row r="258" spans="7:45">
      <c r="G258" s="210" t="s">
        <v>5724</v>
      </c>
      <c r="H258" s="111">
        <v>6460549.4269619994</v>
      </c>
      <c r="K258" t="s">
        <v>25</v>
      </c>
      <c r="Q258" s="97" t="s">
        <v>4660</v>
      </c>
      <c r="R258" s="93">
        <v>11811208</v>
      </c>
      <c r="S258" t="s">
        <v>25</v>
      </c>
      <c r="T258" s="210" t="s">
        <v>5093</v>
      </c>
      <c r="U258" s="210">
        <v>37</v>
      </c>
      <c r="V258" s="111">
        <v>463.315</v>
      </c>
      <c r="W258" s="111">
        <f t="shared" si="76"/>
        <v>17142.654999999999</v>
      </c>
      <c r="X258" s="36" t="s">
        <v>452</v>
      </c>
      <c r="AI258" t="s">
        <v>928</v>
      </c>
      <c r="AJ258" s="112">
        <f>AN250</f>
        <v>216829216.48469654</v>
      </c>
      <c r="AN258" t="s">
        <v>25</v>
      </c>
    </row>
    <row r="259" spans="7:45" ht="15" customHeight="1">
      <c r="G259" s="210" t="s">
        <v>5726</v>
      </c>
      <c r="H259" s="111">
        <v>5212319.8968359996</v>
      </c>
      <c r="Q259" s="97" t="s">
        <v>4674</v>
      </c>
      <c r="R259" s="93">
        <v>41248054</v>
      </c>
      <c r="S259" t="s">
        <v>25</v>
      </c>
      <c r="T259" s="210" t="s">
        <v>5094</v>
      </c>
      <c r="U259" s="210">
        <v>19</v>
      </c>
      <c r="V259" s="111">
        <v>434.3</v>
      </c>
      <c r="W259" s="111">
        <f t="shared" si="76"/>
        <v>8251.7000000000007</v>
      </c>
      <c r="X259" s="36" t="s">
        <v>452</v>
      </c>
      <c r="Y259" t="s">
        <v>25</v>
      </c>
      <c r="AI259" t="s">
        <v>4049</v>
      </c>
      <c r="AJ259" s="112">
        <f>AJ256-AJ255</f>
        <v>4199618724.115304</v>
      </c>
      <c r="AN259" t="s">
        <v>25</v>
      </c>
    </row>
    <row r="260" spans="7:45">
      <c r="G260" s="210" t="s">
        <v>5729</v>
      </c>
      <c r="H260" s="111">
        <v>4524496.4792809999</v>
      </c>
      <c r="Q260" s="97" t="s">
        <v>4681</v>
      </c>
      <c r="R260" s="93">
        <v>37328780</v>
      </c>
      <c r="T260" s="210" t="s">
        <v>5096</v>
      </c>
      <c r="U260" s="210">
        <v>16</v>
      </c>
      <c r="V260" s="111">
        <v>439</v>
      </c>
      <c r="W260" s="111">
        <f t="shared" si="76"/>
        <v>7024</v>
      </c>
      <c r="X260" s="36" t="s">
        <v>452</v>
      </c>
      <c r="Y260" t="s">
        <v>25</v>
      </c>
      <c r="AM260" t="s">
        <v>25</v>
      </c>
    </row>
    <row r="261" spans="7:45" ht="45">
      <c r="G261" s="210" t="s">
        <v>5731</v>
      </c>
      <c r="H261" s="111">
        <v>22866040.240959998</v>
      </c>
      <c r="Q261" s="97" t="s">
        <v>4762</v>
      </c>
      <c r="R261" s="93">
        <v>-2194100</v>
      </c>
      <c r="T261" s="210" t="s">
        <v>5096</v>
      </c>
      <c r="U261" s="210">
        <v>9191</v>
      </c>
      <c r="V261" s="111">
        <v>440.24630000000002</v>
      </c>
      <c r="W261" s="111">
        <f t="shared" si="76"/>
        <v>4046303.7433000002</v>
      </c>
      <c r="X261" s="36" t="s">
        <v>5097</v>
      </c>
      <c r="AJ261" t="s">
        <v>25</v>
      </c>
    </row>
    <row r="262" spans="7:45">
      <c r="G262" s="210" t="s">
        <v>5733</v>
      </c>
      <c r="H262" s="111">
        <v>15359304.269892</v>
      </c>
      <c r="Q262" s="97" t="s">
        <v>4799</v>
      </c>
      <c r="R262" s="93">
        <v>20193916</v>
      </c>
      <c r="T262" s="210" t="s">
        <v>5099</v>
      </c>
      <c r="U262" s="210">
        <v>-8792</v>
      </c>
      <c r="V262" s="111">
        <v>441.90665999999999</v>
      </c>
      <c r="W262" s="111">
        <f t="shared" si="76"/>
        <v>-3885243.3547199997</v>
      </c>
      <c r="X262" s="36" t="s">
        <v>5100</v>
      </c>
    </row>
    <row r="263" spans="7:45" ht="17.25" customHeight="1">
      <c r="G263" s="210" t="s">
        <v>5735</v>
      </c>
      <c r="H263" s="111">
        <v>2868508.1846330003</v>
      </c>
      <c r="Q263" s="97" t="s">
        <v>4870</v>
      </c>
      <c r="R263" s="93">
        <v>-2000000</v>
      </c>
      <c r="T263" s="187" t="s">
        <v>5103</v>
      </c>
      <c r="U263" s="187">
        <v>24374</v>
      </c>
      <c r="V263" s="186">
        <v>471.81700000000001</v>
      </c>
      <c r="W263" s="186">
        <f t="shared" si="76"/>
        <v>11500067.558</v>
      </c>
      <c r="X263" s="275" t="s">
        <v>5106</v>
      </c>
    </row>
    <row r="264" spans="7:45">
      <c r="G264" s="210" t="s">
        <v>5736</v>
      </c>
      <c r="H264" s="111">
        <v>17450393.011856001</v>
      </c>
      <c r="Q264" s="97" t="s">
        <v>4934</v>
      </c>
      <c r="R264" s="93">
        <v>6800000</v>
      </c>
      <c r="S264" t="s">
        <v>25</v>
      </c>
      <c r="T264" s="210" t="s">
        <v>5108</v>
      </c>
      <c r="U264" s="210">
        <v>530</v>
      </c>
      <c r="V264" s="111">
        <v>472</v>
      </c>
      <c r="W264" s="111">
        <f t="shared" si="76"/>
        <v>250160</v>
      </c>
      <c r="X264" s="36" t="s">
        <v>744</v>
      </c>
    </row>
    <row r="265" spans="7:45" ht="30">
      <c r="G265" s="210" t="s">
        <v>5737</v>
      </c>
      <c r="H265" s="111">
        <v>31388943.254850004</v>
      </c>
      <c r="Q265" s="97" t="s">
        <v>4943</v>
      </c>
      <c r="R265" s="93">
        <v>850000</v>
      </c>
      <c r="T265" s="210" t="s">
        <v>5108</v>
      </c>
      <c r="U265" s="210">
        <v>12</v>
      </c>
      <c r="V265" s="111">
        <v>481.86</v>
      </c>
      <c r="W265" s="111">
        <f t="shared" si="76"/>
        <v>5782.32</v>
      </c>
      <c r="X265" s="36" t="s">
        <v>5110</v>
      </c>
    </row>
    <row r="266" spans="7:45">
      <c r="G266" s="210" t="s">
        <v>5738</v>
      </c>
      <c r="H266" s="111">
        <v>30912095.373174001</v>
      </c>
      <c r="J266" t="s">
        <v>25</v>
      </c>
      <c r="Q266" s="97" t="s">
        <v>4952</v>
      </c>
      <c r="R266" s="93">
        <v>2290500</v>
      </c>
      <c r="T266" s="187" t="s">
        <v>5133</v>
      </c>
      <c r="U266" s="187">
        <v>12330</v>
      </c>
      <c r="V266" s="186">
        <v>486.63443869999998</v>
      </c>
      <c r="W266" s="186">
        <f t="shared" si="76"/>
        <v>6000202.6291709999</v>
      </c>
      <c r="X266" s="275" t="s">
        <v>5106</v>
      </c>
      <c r="AH266" s="97" t="s">
        <v>3625</v>
      </c>
      <c r="AI266" s="97" t="s">
        <v>180</v>
      </c>
      <c r="AJ266" s="97" t="s">
        <v>267</v>
      </c>
      <c r="AK266" s="97" t="s">
        <v>4042</v>
      </c>
      <c r="AL266" s="97" t="s">
        <v>4034</v>
      </c>
      <c r="AM266" s="97" t="s">
        <v>282</v>
      </c>
      <c r="AN266" s="97" t="s">
        <v>4269</v>
      </c>
    </row>
    <row r="267" spans="7:45" ht="20.25" customHeight="1">
      <c r="G267" s="210" t="s">
        <v>5740</v>
      </c>
      <c r="H267" s="111">
        <v>19602926.115093999</v>
      </c>
      <c r="J267" t="s">
        <v>25</v>
      </c>
      <c r="Q267" s="97" t="s">
        <v>4960</v>
      </c>
      <c r="R267" s="93">
        <v>400000</v>
      </c>
      <c r="S267" t="s">
        <v>25</v>
      </c>
      <c r="T267" s="210" t="s">
        <v>5135</v>
      </c>
      <c r="U267" s="210">
        <v>846</v>
      </c>
      <c r="V267" s="111">
        <v>472.7</v>
      </c>
      <c r="W267" s="111">
        <f t="shared" si="76"/>
        <v>399904.2</v>
      </c>
      <c r="X267" s="36" t="s">
        <v>452</v>
      </c>
      <c r="AH267" s="97">
        <v>1</v>
      </c>
      <c r="AI267" s="97" t="s">
        <v>3933</v>
      </c>
      <c r="AJ267" s="115">
        <v>3555820</v>
      </c>
      <c r="AK267" s="97">
        <v>2</v>
      </c>
      <c r="AL267" s="97">
        <f>AK267+AL268</f>
        <v>899</v>
      </c>
      <c r="AM267" s="97">
        <f>AJ267*AL267</f>
        <v>3196682180</v>
      </c>
      <c r="AN267" s="97" t="s">
        <v>4287</v>
      </c>
      <c r="AS267" t="s">
        <v>25</v>
      </c>
    </row>
    <row r="268" spans="7:45">
      <c r="G268" s="210" t="s">
        <v>5744</v>
      </c>
      <c r="H268" s="111">
        <v>34458590.308710001</v>
      </c>
      <c r="Q268" s="97" t="s">
        <v>4967</v>
      </c>
      <c r="R268" s="93">
        <v>150000</v>
      </c>
      <c r="T268" s="187" t="s">
        <v>5135</v>
      </c>
      <c r="U268" s="187">
        <v>3173</v>
      </c>
      <c r="V268" s="186">
        <v>472.7</v>
      </c>
      <c r="W268" s="186">
        <f t="shared" si="76"/>
        <v>1499877.0999999999</v>
      </c>
      <c r="X268" s="275" t="s">
        <v>5263</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5747</v>
      </c>
      <c r="H269" s="111">
        <v>21697868.203256</v>
      </c>
      <c r="Q269" s="97" t="s">
        <v>4995</v>
      </c>
      <c r="R269" s="93">
        <v>-144950</v>
      </c>
      <c r="T269" s="210" t="s">
        <v>5139</v>
      </c>
      <c r="U269" s="210">
        <v>191</v>
      </c>
      <c r="V269" s="111">
        <v>484.572</v>
      </c>
      <c r="W269" s="111">
        <f t="shared" si="76"/>
        <v>92553.252000000008</v>
      </c>
      <c r="X269" s="36" t="s">
        <v>5140</v>
      </c>
      <c r="AH269" s="97">
        <v>3</v>
      </c>
      <c r="AI269" s="97" t="s">
        <v>4113</v>
      </c>
      <c r="AJ269" s="115">
        <v>150000</v>
      </c>
      <c r="AK269" s="97">
        <v>3</v>
      </c>
      <c r="AL269" s="97">
        <f t="shared" si="77"/>
        <v>846</v>
      </c>
      <c r="AM269" s="97">
        <f t="shared" si="78"/>
        <v>126900000</v>
      </c>
      <c r="AN269" s="97"/>
    </row>
    <row r="270" spans="7:45">
      <c r="G270" s="210" t="s">
        <v>5749</v>
      </c>
      <c r="H270" s="111">
        <v>25340079.252110001</v>
      </c>
      <c r="Q270" s="97" t="s">
        <v>5021</v>
      </c>
      <c r="R270" s="93">
        <v>320000</v>
      </c>
      <c r="T270" s="210" t="s">
        <v>5139</v>
      </c>
      <c r="U270" s="210">
        <v>-206</v>
      </c>
      <c r="V270" s="111">
        <v>484.572</v>
      </c>
      <c r="W270" s="111">
        <f t="shared" si="76"/>
        <v>-99821.831999999995</v>
      </c>
      <c r="X270" s="36" t="s">
        <v>5142</v>
      </c>
      <c r="AH270" s="97">
        <v>4</v>
      </c>
      <c r="AI270" s="97" t="s">
        <v>4128</v>
      </c>
      <c r="AJ270" s="115">
        <v>-95000</v>
      </c>
      <c r="AK270" s="97">
        <v>8</v>
      </c>
      <c r="AL270" s="97">
        <f t="shared" si="77"/>
        <v>843</v>
      </c>
      <c r="AM270" s="97">
        <f t="shared" si="78"/>
        <v>-80085000</v>
      </c>
      <c r="AN270" s="97"/>
    </row>
    <row r="271" spans="7:45">
      <c r="G271" s="210" t="s">
        <v>5750</v>
      </c>
      <c r="H271" s="111">
        <v>14780983.183526</v>
      </c>
      <c r="Q271" s="97" t="s">
        <v>5025</v>
      </c>
      <c r="R271" s="93">
        <v>500000</v>
      </c>
      <c r="S271" t="s">
        <v>25</v>
      </c>
      <c r="T271" s="210" t="s">
        <v>5143</v>
      </c>
      <c r="U271" s="210">
        <v>20685</v>
      </c>
      <c r="V271" s="111">
        <v>483.43312200000003</v>
      </c>
      <c r="W271" s="111">
        <f t="shared" si="76"/>
        <v>9999814.1285699997</v>
      </c>
      <c r="X271" s="36" t="s">
        <v>5145</v>
      </c>
      <c r="AH271" s="97">
        <v>5</v>
      </c>
      <c r="AI271" s="97" t="s">
        <v>4153</v>
      </c>
      <c r="AJ271" s="115">
        <v>3150000</v>
      </c>
      <c r="AK271" s="97">
        <v>16</v>
      </c>
      <c r="AL271" s="97">
        <f t="shared" si="77"/>
        <v>835</v>
      </c>
      <c r="AM271" s="97">
        <f t="shared" si="78"/>
        <v>2630250000</v>
      </c>
      <c r="AN271" s="97"/>
      <c r="AR271" t="s">
        <v>25</v>
      </c>
    </row>
    <row r="272" spans="7:45">
      <c r="G272" s="210" t="s">
        <v>5753</v>
      </c>
      <c r="H272" s="111">
        <v>17804396.448481999</v>
      </c>
      <c r="Q272" s="97" t="s">
        <v>5070</v>
      </c>
      <c r="R272" s="93">
        <v>400000</v>
      </c>
      <c r="S272" t="s">
        <v>25</v>
      </c>
      <c r="T272" s="210" t="s">
        <v>5143</v>
      </c>
      <c r="U272" s="210">
        <v>-413</v>
      </c>
      <c r="V272" s="111">
        <v>483.40199999999999</v>
      </c>
      <c r="W272" s="111">
        <f t="shared" si="76"/>
        <v>-199645.02599999998</v>
      </c>
      <c r="X272" s="36" t="s">
        <v>4410</v>
      </c>
      <c r="AH272" s="97">
        <v>6</v>
      </c>
      <c r="AI272" s="97" t="s">
        <v>4218</v>
      </c>
      <c r="AJ272" s="115">
        <v>-65000</v>
      </c>
      <c r="AK272" s="97">
        <v>1</v>
      </c>
      <c r="AL272" s="97">
        <f t="shared" si="77"/>
        <v>819</v>
      </c>
      <c r="AM272" s="97">
        <f t="shared" si="78"/>
        <v>-53235000</v>
      </c>
      <c r="AN272" s="97"/>
    </row>
    <row r="273" spans="7:40">
      <c r="G273" s="210" t="s">
        <v>5758</v>
      </c>
      <c r="H273" s="111">
        <v>11538335.631417999</v>
      </c>
      <c r="Q273" s="97" t="s">
        <v>5073</v>
      </c>
      <c r="R273" s="93">
        <v>50000</v>
      </c>
      <c r="S273" t="s">
        <v>25</v>
      </c>
      <c r="T273" s="210" t="s">
        <v>5143</v>
      </c>
      <c r="U273" s="210">
        <v>413</v>
      </c>
      <c r="V273" s="111">
        <v>483.40199999999999</v>
      </c>
      <c r="W273" s="111">
        <f t="shared" si="76"/>
        <v>199645.02599999998</v>
      </c>
      <c r="X273" s="36" t="s">
        <v>744</v>
      </c>
      <c r="AH273" s="97">
        <v>7</v>
      </c>
      <c r="AI273" s="97" t="s">
        <v>4289</v>
      </c>
      <c r="AJ273" s="115">
        <v>-95000</v>
      </c>
      <c r="AK273" s="97">
        <v>6</v>
      </c>
      <c r="AL273" s="97">
        <f t="shared" si="77"/>
        <v>818</v>
      </c>
      <c r="AM273" s="97">
        <f t="shared" si="78"/>
        <v>-77710000</v>
      </c>
      <c r="AN273" s="97"/>
    </row>
    <row r="274" spans="7:40">
      <c r="G274" s="210" t="s">
        <v>5759</v>
      </c>
      <c r="H274" s="111">
        <v>12429517.767776001</v>
      </c>
      <c r="Q274" s="97" t="s">
        <v>5083</v>
      </c>
      <c r="R274" s="93">
        <v>300000</v>
      </c>
      <c r="T274" s="210" t="s">
        <v>5148</v>
      </c>
      <c r="U274" s="210">
        <v>-828</v>
      </c>
      <c r="V274" s="111">
        <v>483.43312200000003</v>
      </c>
      <c r="W274" s="111">
        <f t="shared" si="76"/>
        <v>-400282.62501600001</v>
      </c>
      <c r="X274" s="36" t="s">
        <v>452</v>
      </c>
      <c r="AH274" s="97">
        <v>8</v>
      </c>
      <c r="AI274" s="97" t="s">
        <v>4290</v>
      </c>
      <c r="AJ274" s="115">
        <v>232000</v>
      </c>
      <c r="AK274" s="97">
        <v>7</v>
      </c>
      <c r="AL274" s="97">
        <f t="shared" si="77"/>
        <v>812</v>
      </c>
      <c r="AM274" s="97">
        <f t="shared" si="78"/>
        <v>188384000</v>
      </c>
      <c r="AN274" s="97"/>
    </row>
    <row r="275" spans="7:40">
      <c r="G275" s="210" t="s">
        <v>5771</v>
      </c>
      <c r="H275" s="111">
        <v>5031176.5087869996</v>
      </c>
      <c r="Q275" s="97" t="s">
        <v>5108</v>
      </c>
      <c r="R275" s="93">
        <v>250000</v>
      </c>
      <c r="T275" s="210" t="s">
        <v>5151</v>
      </c>
      <c r="U275" s="210">
        <v>12</v>
      </c>
      <c r="V275" s="111">
        <v>473.61898300000001</v>
      </c>
      <c r="W275" s="111">
        <f t="shared" si="76"/>
        <v>5683.4277959999999</v>
      </c>
      <c r="X275" s="36" t="s">
        <v>452</v>
      </c>
      <c r="Y275" t="s">
        <v>25</v>
      </c>
      <c r="AH275" s="97">
        <v>9</v>
      </c>
      <c r="AI275" s="97" t="s">
        <v>4268</v>
      </c>
      <c r="AJ275" s="115">
        <v>13000000</v>
      </c>
      <c r="AK275" s="97">
        <v>2</v>
      </c>
      <c r="AL275" s="97">
        <f t="shared" si="77"/>
        <v>805</v>
      </c>
      <c r="AM275" s="97">
        <f t="shared" si="78"/>
        <v>10465000000</v>
      </c>
      <c r="AN275" s="97"/>
    </row>
    <row r="276" spans="7:40">
      <c r="G276" s="210" t="s">
        <v>5774</v>
      </c>
      <c r="H276" s="111">
        <v>6822803.9080700008</v>
      </c>
      <c r="O276" t="s">
        <v>25</v>
      </c>
      <c r="Q276" s="97" t="s">
        <v>5143</v>
      </c>
      <c r="R276" s="93">
        <v>200000</v>
      </c>
      <c r="T276" s="210" t="s">
        <v>5154</v>
      </c>
      <c r="U276" s="210">
        <v>963</v>
      </c>
      <c r="V276" s="111">
        <v>477.92200000000003</v>
      </c>
      <c r="W276" s="111">
        <f t="shared" si="76"/>
        <v>460238.886</v>
      </c>
      <c r="X276" s="36" t="s">
        <v>452</v>
      </c>
      <c r="AH276" s="97">
        <v>10</v>
      </c>
      <c r="AI276" s="97" t="s">
        <v>4291</v>
      </c>
      <c r="AJ276" s="115">
        <v>10000000</v>
      </c>
      <c r="AK276" s="97">
        <v>3</v>
      </c>
      <c r="AL276" s="97">
        <f t="shared" si="77"/>
        <v>803</v>
      </c>
      <c r="AM276" s="97">
        <f t="shared" si="78"/>
        <v>8030000000</v>
      </c>
      <c r="AN276" s="97"/>
    </row>
    <row r="277" spans="7:40">
      <c r="G277" s="210" t="s">
        <v>5778</v>
      </c>
      <c r="H277" s="111">
        <v>330889.73324399994</v>
      </c>
      <c r="Q277" s="97" t="s">
        <v>5176</v>
      </c>
      <c r="R277" s="93">
        <v>122000</v>
      </c>
      <c r="T277" s="210" t="s">
        <v>5155</v>
      </c>
      <c r="U277" s="210">
        <v>2815</v>
      </c>
      <c r="V277" s="111">
        <v>461.79</v>
      </c>
      <c r="W277" s="111">
        <f t="shared" si="76"/>
        <v>1299938.8500000001</v>
      </c>
      <c r="X277" s="36" t="s">
        <v>452</v>
      </c>
      <c r="AH277" s="97">
        <v>11</v>
      </c>
      <c r="AI277" s="97" t="s">
        <v>4280</v>
      </c>
      <c r="AJ277" s="115">
        <v>3400000</v>
      </c>
      <c r="AK277" s="97">
        <v>9</v>
      </c>
      <c r="AL277" s="97">
        <f t="shared" si="77"/>
        <v>800</v>
      </c>
      <c r="AM277" s="97">
        <f t="shared" si="78"/>
        <v>2720000000</v>
      </c>
      <c r="AN277" s="97"/>
    </row>
    <row r="278" spans="7:40">
      <c r="G278" s="210" t="s">
        <v>5788</v>
      </c>
      <c r="H278" s="111">
        <v>6610318.1610199995</v>
      </c>
      <c r="K278" t="s">
        <v>25</v>
      </c>
      <c r="Q278" s="97" t="s">
        <v>5184</v>
      </c>
      <c r="R278" s="93">
        <v>200000</v>
      </c>
      <c r="S278" t="s">
        <v>25</v>
      </c>
      <c r="T278" s="210" t="s">
        <v>5155</v>
      </c>
      <c r="U278" s="210">
        <v>1581</v>
      </c>
      <c r="V278" s="111">
        <v>461.79</v>
      </c>
      <c r="W278" s="111">
        <f t="shared" si="76"/>
        <v>730089.99</v>
      </c>
      <c r="X278" s="36" t="s">
        <v>452</v>
      </c>
      <c r="AH278" s="97">
        <v>12</v>
      </c>
      <c r="AI278" s="97" t="s">
        <v>4317</v>
      </c>
      <c r="AJ278" s="115">
        <v>-8736514</v>
      </c>
      <c r="AK278" s="97">
        <v>1</v>
      </c>
      <c r="AL278" s="97">
        <f>AK278+AL279</f>
        <v>791</v>
      </c>
      <c r="AM278" s="97">
        <f t="shared" si="78"/>
        <v>-6910582574</v>
      </c>
      <c r="AN278" s="97"/>
    </row>
    <row r="279" spans="7:40">
      <c r="G279" s="210" t="s">
        <v>5789</v>
      </c>
      <c r="H279" s="111">
        <v>710713.17725199996</v>
      </c>
      <c r="Q279" s="97" t="s">
        <v>5194</v>
      </c>
      <c r="R279" s="93">
        <v>60000</v>
      </c>
      <c r="T279" s="187" t="s">
        <v>5162</v>
      </c>
      <c r="U279" s="187">
        <v>1916</v>
      </c>
      <c r="V279" s="186">
        <v>521.70000000000005</v>
      </c>
      <c r="W279" s="186">
        <f t="shared" si="76"/>
        <v>999577.20000000007</v>
      </c>
      <c r="X279" s="275" t="s">
        <v>5263</v>
      </c>
      <c r="AH279" s="97">
        <v>13</v>
      </c>
      <c r="AI279" s="97" t="s">
        <v>4318</v>
      </c>
      <c r="AJ279" s="115">
        <v>555000</v>
      </c>
      <c r="AK279" s="97">
        <v>5</v>
      </c>
      <c r="AL279" s="97">
        <f t="shared" ref="AL279:AL295" si="79">AK279+AL280</f>
        <v>790</v>
      </c>
      <c r="AM279" s="97">
        <f t="shared" si="78"/>
        <v>438450000</v>
      </c>
      <c r="AN279" s="97"/>
    </row>
    <row r="280" spans="7:40">
      <c r="G280" s="210" t="s">
        <v>5791</v>
      </c>
      <c r="H280" s="111">
        <v>81025</v>
      </c>
      <c r="J280" t="s">
        <v>25</v>
      </c>
      <c r="Q280" s="97" t="s">
        <v>5253</v>
      </c>
      <c r="R280" s="93">
        <v>-200000</v>
      </c>
      <c r="S280" t="s">
        <v>25</v>
      </c>
      <c r="T280" s="210" t="s">
        <v>977</v>
      </c>
      <c r="U280" s="210">
        <v>41</v>
      </c>
      <c r="V280" s="111">
        <v>514.48099999999999</v>
      </c>
      <c r="W280" s="111">
        <f t="shared" si="76"/>
        <v>21093.721000000001</v>
      </c>
      <c r="X280" s="36" t="s">
        <v>5140</v>
      </c>
      <c r="AH280" s="97">
        <v>14</v>
      </c>
      <c r="AI280" s="97" t="s">
        <v>4342</v>
      </c>
      <c r="AJ280" s="115">
        <v>-448308</v>
      </c>
      <c r="AK280" s="97">
        <v>6</v>
      </c>
      <c r="AL280" s="97">
        <f t="shared" si="79"/>
        <v>785</v>
      </c>
      <c r="AM280" s="97">
        <f t="shared" si="78"/>
        <v>-351921780</v>
      </c>
      <c r="AN280" s="97"/>
    </row>
    <row r="281" spans="7:40">
      <c r="G281" s="210" t="s">
        <v>5795</v>
      </c>
      <c r="H281" s="111">
        <v>219696.613128</v>
      </c>
      <c r="K281" t="s">
        <v>25</v>
      </c>
      <c r="Q281" s="97" t="s">
        <v>5317</v>
      </c>
      <c r="R281" s="93">
        <v>-9000000</v>
      </c>
      <c r="T281" s="210" t="s">
        <v>4257</v>
      </c>
      <c r="U281" s="210">
        <v>71</v>
      </c>
      <c r="V281" s="111">
        <v>482.57</v>
      </c>
      <c r="W281" s="111">
        <f t="shared" si="76"/>
        <v>34262.47</v>
      </c>
      <c r="X281" s="36" t="s">
        <v>5140</v>
      </c>
      <c r="Y281" t="s">
        <v>25</v>
      </c>
      <c r="AH281" s="97">
        <v>15</v>
      </c>
      <c r="AI281" s="97" t="s">
        <v>4369</v>
      </c>
      <c r="AJ281" s="115">
        <v>33225</v>
      </c>
      <c r="AK281" s="97">
        <v>0</v>
      </c>
      <c r="AL281" s="97">
        <f t="shared" si="79"/>
        <v>779</v>
      </c>
      <c r="AM281" s="97">
        <f t="shared" si="78"/>
        <v>25882275</v>
      </c>
      <c r="AN281" s="97"/>
    </row>
    <row r="282" spans="7:40">
      <c r="G282" s="210" t="s">
        <v>5796</v>
      </c>
      <c r="H282" s="111">
        <v>6035472.4070199998</v>
      </c>
      <c r="Q282" s="97" t="s">
        <v>5380</v>
      </c>
      <c r="R282" s="93">
        <v>-26000000</v>
      </c>
      <c r="T282" s="210" t="s">
        <v>5176</v>
      </c>
      <c r="U282" s="210">
        <v>-250</v>
      </c>
      <c r="V282" s="111">
        <v>487.125</v>
      </c>
      <c r="W282" s="111">
        <f t="shared" si="76"/>
        <v>-121781.25</v>
      </c>
      <c r="X282" s="36" t="s">
        <v>4410</v>
      </c>
      <c r="AH282" s="147">
        <v>16</v>
      </c>
      <c r="AI282" s="147" t="s">
        <v>4369</v>
      </c>
      <c r="AJ282" s="186">
        <v>4098523</v>
      </c>
      <c r="AK282" s="147">
        <v>2</v>
      </c>
      <c r="AL282" s="147">
        <f t="shared" si="79"/>
        <v>779</v>
      </c>
      <c r="AM282" s="147">
        <f t="shared" si="78"/>
        <v>3192749417</v>
      </c>
      <c r="AN282" s="147" t="s">
        <v>650</v>
      </c>
    </row>
    <row r="283" spans="7:40">
      <c r="G283" s="210" t="s">
        <v>5798</v>
      </c>
      <c r="H283" s="111">
        <v>984486.34963200008</v>
      </c>
      <c r="Q283" s="97" t="s">
        <v>5384</v>
      </c>
      <c r="R283" s="93">
        <v>-95900000</v>
      </c>
      <c r="T283" s="210" t="s">
        <v>5176</v>
      </c>
      <c r="U283" s="210">
        <v>250</v>
      </c>
      <c r="V283" s="111">
        <v>487.125</v>
      </c>
      <c r="W283" s="111">
        <f t="shared" si="76"/>
        <v>121781.25</v>
      </c>
      <c r="X283" s="36" t="s">
        <v>744</v>
      </c>
      <c r="AH283" s="147">
        <v>17</v>
      </c>
      <c r="AI283" s="147" t="s">
        <v>4380</v>
      </c>
      <c r="AJ283" s="186">
        <v>-1000000</v>
      </c>
      <c r="AK283" s="147">
        <v>7</v>
      </c>
      <c r="AL283" s="147">
        <f t="shared" si="79"/>
        <v>777</v>
      </c>
      <c r="AM283" s="147">
        <f t="shared" si="78"/>
        <v>-777000000</v>
      </c>
      <c r="AN283" s="147" t="s">
        <v>650</v>
      </c>
    </row>
    <row r="284" spans="7:40">
      <c r="G284" s="210" t="s">
        <v>5800</v>
      </c>
      <c r="H284" s="111">
        <v>2143469.938015</v>
      </c>
      <c r="O284" t="s">
        <v>25</v>
      </c>
      <c r="Q284" s="97" t="s">
        <v>5385</v>
      </c>
      <c r="R284" s="93">
        <v>-28950000</v>
      </c>
      <c r="S284" t="s">
        <v>25</v>
      </c>
      <c r="T284" s="210" t="s">
        <v>5184</v>
      </c>
      <c r="U284" s="210">
        <v>-1439</v>
      </c>
      <c r="V284" s="111">
        <v>486.53068999999999</v>
      </c>
      <c r="W284" s="111">
        <f t="shared" si="76"/>
        <v>-700117.66290999996</v>
      </c>
      <c r="X284" s="36" t="s">
        <v>4410</v>
      </c>
      <c r="AH284" s="147">
        <v>18</v>
      </c>
      <c r="AI284" s="147" t="s">
        <v>4400</v>
      </c>
      <c r="AJ284" s="186">
        <v>750000</v>
      </c>
      <c r="AK284" s="147">
        <v>1</v>
      </c>
      <c r="AL284" s="147">
        <f t="shared" si="79"/>
        <v>770</v>
      </c>
      <c r="AM284" s="147">
        <f t="shared" si="78"/>
        <v>577500000</v>
      </c>
      <c r="AN284" s="147" t="s">
        <v>650</v>
      </c>
    </row>
    <row r="285" spans="7:40">
      <c r="G285" s="210" t="s">
        <v>5816</v>
      </c>
      <c r="H285" s="111">
        <v>3085460.5177150001</v>
      </c>
      <c r="Q285" s="97" t="s">
        <v>5545</v>
      </c>
      <c r="R285" s="93">
        <v>-93000000</v>
      </c>
      <c r="S285" t="s">
        <v>25</v>
      </c>
      <c r="T285" s="210" t="s">
        <v>5184</v>
      </c>
      <c r="U285" s="210">
        <v>411</v>
      </c>
      <c r="V285" s="111">
        <v>486.53068999999999</v>
      </c>
      <c r="W285" s="111">
        <f t="shared" si="76"/>
        <v>199964.11358999999</v>
      </c>
      <c r="X285" s="36" t="s">
        <v>744</v>
      </c>
      <c r="AH285" s="193">
        <v>19</v>
      </c>
      <c r="AI285" s="193" t="s">
        <v>4401</v>
      </c>
      <c r="AJ285" s="194">
        <v>-604152</v>
      </c>
      <c r="AK285" s="193">
        <v>0</v>
      </c>
      <c r="AL285" s="193">
        <f t="shared" si="79"/>
        <v>769</v>
      </c>
      <c r="AM285" s="193">
        <f t="shared" si="78"/>
        <v>-464592888</v>
      </c>
      <c r="AN285" s="193" t="s">
        <v>650</v>
      </c>
    </row>
    <row r="286" spans="7:40">
      <c r="G286" s="210" t="s">
        <v>5818</v>
      </c>
      <c r="H286" s="111">
        <v>8261456.790906</v>
      </c>
      <c r="Q286" s="97" t="s">
        <v>5557</v>
      </c>
      <c r="R286" s="93">
        <v>50000000</v>
      </c>
      <c r="T286" s="210" t="s">
        <v>5153</v>
      </c>
      <c r="U286" s="210">
        <v>-4290</v>
      </c>
      <c r="V286" s="111">
        <v>497.57670000000002</v>
      </c>
      <c r="W286" s="111">
        <f t="shared" si="76"/>
        <v>-2134604.0430000001</v>
      </c>
      <c r="X286" s="36" t="s">
        <v>452</v>
      </c>
      <c r="AH286" s="97">
        <v>20</v>
      </c>
      <c r="AI286" s="97" t="s">
        <v>4402</v>
      </c>
      <c r="AJ286" s="115">
        <v>-587083</v>
      </c>
      <c r="AK286" s="97">
        <v>4</v>
      </c>
      <c r="AL286" s="97">
        <f t="shared" si="79"/>
        <v>769</v>
      </c>
      <c r="AM286" s="97">
        <f t="shared" si="78"/>
        <v>-451466827</v>
      </c>
      <c r="AN286" s="97"/>
    </row>
    <row r="287" spans="7:40">
      <c r="G287" s="210" t="s">
        <v>5820</v>
      </c>
      <c r="H287" s="111">
        <v>6572373.7593120001</v>
      </c>
      <c r="J287" t="s">
        <v>25</v>
      </c>
      <c r="Q287" s="97" t="s">
        <v>4213</v>
      </c>
      <c r="R287" s="93">
        <v>2749471.1668000002</v>
      </c>
      <c r="T287" s="210" t="s">
        <v>5191</v>
      </c>
      <c r="U287" s="210">
        <v>-644</v>
      </c>
      <c r="V287" s="111">
        <v>494.76464499999997</v>
      </c>
      <c r="W287" s="111">
        <f t="shared" si="76"/>
        <v>-318628.43137999997</v>
      </c>
      <c r="X287" s="36" t="s">
        <v>452</v>
      </c>
      <c r="AH287" s="193">
        <v>21</v>
      </c>
      <c r="AI287" s="193" t="s">
        <v>4403</v>
      </c>
      <c r="AJ287" s="194">
        <v>-754351</v>
      </c>
      <c r="AK287" s="193">
        <v>0</v>
      </c>
      <c r="AL287" s="147">
        <f t="shared" si="79"/>
        <v>765</v>
      </c>
      <c r="AM287" s="193">
        <f t="shared" si="78"/>
        <v>-577078515</v>
      </c>
      <c r="AN287" s="193" t="s">
        <v>650</v>
      </c>
    </row>
    <row r="288" spans="7:40">
      <c r="G288" s="210" t="s">
        <v>5826</v>
      </c>
      <c r="H288" s="111">
        <v>2893243.5730909999</v>
      </c>
      <c r="Q288" s="97" t="s">
        <v>5649</v>
      </c>
      <c r="R288" s="93">
        <v>-680940.07019999996</v>
      </c>
      <c r="T288" s="210" t="s">
        <v>5194</v>
      </c>
      <c r="U288" s="210">
        <v>-112</v>
      </c>
      <c r="V288" s="111">
        <v>485.78</v>
      </c>
      <c r="W288" s="111">
        <f t="shared" si="76"/>
        <v>-54407.360000000001</v>
      </c>
      <c r="X288" s="36" t="s">
        <v>452</v>
      </c>
      <c r="AH288" s="97">
        <v>22</v>
      </c>
      <c r="AI288" s="97" t="s">
        <v>4403</v>
      </c>
      <c r="AJ288" s="115">
        <v>-189619</v>
      </c>
      <c r="AK288" s="97">
        <v>15</v>
      </c>
      <c r="AL288" s="97">
        <f t="shared" si="79"/>
        <v>765</v>
      </c>
      <c r="AM288" s="97">
        <f t="shared" si="78"/>
        <v>-145058535</v>
      </c>
      <c r="AN288" s="97"/>
    </row>
    <row r="289" spans="7:44">
      <c r="G289" s="210" t="s">
        <v>5829</v>
      </c>
      <c r="H289" s="111">
        <v>94992058.939007998</v>
      </c>
      <c r="Q289" s="97" t="s">
        <v>5649</v>
      </c>
      <c r="R289" s="93">
        <v>-48684800.338199995</v>
      </c>
      <c r="T289" s="210" t="s">
        <v>5194</v>
      </c>
      <c r="U289" s="210">
        <v>123</v>
      </c>
      <c r="V289" s="111">
        <v>485.78</v>
      </c>
      <c r="W289" s="111">
        <f t="shared" si="76"/>
        <v>59750.939999999995</v>
      </c>
      <c r="X289" s="36" t="s">
        <v>744</v>
      </c>
      <c r="Z289" t="s">
        <v>25</v>
      </c>
      <c r="AH289" s="193">
        <v>23</v>
      </c>
      <c r="AI289" s="193" t="s">
        <v>4466</v>
      </c>
      <c r="AJ289" s="186">
        <v>7100</v>
      </c>
      <c r="AK289" s="193">
        <v>0</v>
      </c>
      <c r="AL289" s="147">
        <f t="shared" si="79"/>
        <v>750</v>
      </c>
      <c r="AM289" s="193">
        <f t="shared" si="78"/>
        <v>5325000</v>
      </c>
      <c r="AN289" s="193" t="s">
        <v>650</v>
      </c>
    </row>
    <row r="290" spans="7:44">
      <c r="G290" s="210" t="s">
        <v>5836</v>
      </c>
      <c r="H290" s="111">
        <v>275021.925965</v>
      </c>
      <c r="J290" t="s">
        <v>25</v>
      </c>
      <c r="Q290" s="97" t="s">
        <v>5673</v>
      </c>
      <c r="R290" s="93">
        <v>1500000</v>
      </c>
      <c r="S290" t="s">
        <v>25</v>
      </c>
      <c r="T290" s="210" t="s">
        <v>5194</v>
      </c>
      <c r="U290" s="210">
        <v>-123</v>
      </c>
      <c r="V290" s="111">
        <v>485.78</v>
      </c>
      <c r="W290" s="111">
        <f t="shared" si="76"/>
        <v>-59750.939999999995</v>
      </c>
      <c r="X290" s="36" t="s">
        <v>4410</v>
      </c>
      <c r="AH290" s="20">
        <v>24</v>
      </c>
      <c r="AI290" s="20" t="s">
        <v>4466</v>
      </c>
      <c r="AJ290" s="115">
        <v>-147902</v>
      </c>
      <c r="AK290" s="20">
        <v>3</v>
      </c>
      <c r="AL290" s="97">
        <f t="shared" si="79"/>
        <v>750</v>
      </c>
      <c r="AM290" s="20">
        <f t="shared" si="78"/>
        <v>-110926500</v>
      </c>
      <c r="AN290" s="20"/>
    </row>
    <row r="291" spans="7:44">
      <c r="G291" s="210" t="s">
        <v>5844</v>
      </c>
      <c r="H291" s="111">
        <v>327451.9203</v>
      </c>
      <c r="Q291" s="97" t="s">
        <v>965</v>
      </c>
      <c r="R291" s="93">
        <v>11221062</v>
      </c>
      <c r="T291" s="210" t="s">
        <v>5237</v>
      </c>
      <c r="U291" s="210">
        <v>32367</v>
      </c>
      <c r="V291" s="111">
        <v>556.12900000000002</v>
      </c>
      <c r="W291" s="111">
        <f t="shared" si="76"/>
        <v>18000227.343000002</v>
      </c>
      <c r="X291" s="36" t="s">
        <v>452</v>
      </c>
      <c r="AH291" s="147">
        <v>25</v>
      </c>
      <c r="AI291" s="147" t="s">
        <v>4474</v>
      </c>
      <c r="AJ291" s="186">
        <v>-37200</v>
      </c>
      <c r="AK291" s="147">
        <v>4</v>
      </c>
      <c r="AL291" s="147">
        <f t="shared" si="79"/>
        <v>747</v>
      </c>
      <c r="AM291" s="193">
        <f t="shared" si="78"/>
        <v>-27788400</v>
      </c>
      <c r="AN291" s="147" t="s">
        <v>650</v>
      </c>
    </row>
    <row r="292" spans="7:44">
      <c r="G292" s="210" t="s">
        <v>5862</v>
      </c>
      <c r="H292" s="111">
        <v>260081.94096800001</v>
      </c>
      <c r="J292" t="s">
        <v>25</v>
      </c>
      <c r="O292" t="s">
        <v>25</v>
      </c>
      <c r="Q292" s="97"/>
      <c r="R292" s="93"/>
      <c r="T292" s="210" t="s">
        <v>5253</v>
      </c>
      <c r="U292" s="210">
        <v>1254</v>
      </c>
      <c r="V292" s="111">
        <v>558.24400000000003</v>
      </c>
      <c r="W292" s="111">
        <f t="shared" si="76"/>
        <v>700037.97600000002</v>
      </c>
      <c r="X292" s="36" t="s">
        <v>4410</v>
      </c>
      <c r="AH292" s="97">
        <v>26</v>
      </c>
      <c r="AI292" s="97" t="s">
        <v>4504</v>
      </c>
      <c r="AJ292" s="115">
        <v>-372326</v>
      </c>
      <c r="AK292" s="97">
        <v>21</v>
      </c>
      <c r="AL292" s="97">
        <f t="shared" si="79"/>
        <v>743</v>
      </c>
      <c r="AM292" s="20">
        <f t="shared" si="78"/>
        <v>-276638218</v>
      </c>
      <c r="AN292" s="97"/>
    </row>
    <row r="293" spans="7:44">
      <c r="G293" s="210" t="s">
        <v>5879</v>
      </c>
      <c r="H293" s="111">
        <v>2909284.5308940001</v>
      </c>
      <c r="J293" t="s">
        <v>25</v>
      </c>
      <c r="Q293" s="97"/>
      <c r="R293" s="93">
        <f>SUM(R241:R292)</f>
        <v>200038617.75839999</v>
      </c>
      <c r="S293" t="s">
        <v>25</v>
      </c>
      <c r="T293" s="166" t="s">
        <v>5253</v>
      </c>
      <c r="U293" s="210">
        <v>-358</v>
      </c>
      <c r="V293" s="111">
        <v>558.24400000000003</v>
      </c>
      <c r="W293" s="111">
        <f t="shared" si="76"/>
        <v>-199851.35200000001</v>
      </c>
      <c r="X293" s="36" t="s">
        <v>744</v>
      </c>
      <c r="Y293" t="s">
        <v>25</v>
      </c>
      <c r="AH293" s="97">
        <v>27</v>
      </c>
      <c r="AI293" s="97" t="s">
        <v>4551</v>
      </c>
      <c r="AJ293" s="115">
        <v>235062</v>
      </c>
      <c r="AK293" s="97">
        <v>0</v>
      </c>
      <c r="AL293" s="97">
        <f t="shared" si="79"/>
        <v>722</v>
      </c>
      <c r="AM293" s="20">
        <f t="shared" si="78"/>
        <v>169714764</v>
      </c>
      <c r="AN293" s="97"/>
    </row>
    <row r="294" spans="7:44">
      <c r="G294" s="210" t="s">
        <v>5884</v>
      </c>
      <c r="H294" s="111">
        <v>37723205.094084002</v>
      </c>
      <c r="J294" t="s">
        <v>25</v>
      </c>
      <c r="P294" t="s">
        <v>25</v>
      </c>
      <c r="Q294" s="97"/>
      <c r="R294" s="97" t="s">
        <v>6</v>
      </c>
      <c r="S294" t="s">
        <v>25</v>
      </c>
      <c r="T294" s="187" t="s">
        <v>5262</v>
      </c>
      <c r="U294" s="187">
        <v>-3326</v>
      </c>
      <c r="V294" s="186">
        <v>601.39300000000003</v>
      </c>
      <c r="W294" s="186">
        <f t="shared" si="76"/>
        <v>-2000233.118</v>
      </c>
      <c r="X294" s="275" t="s">
        <v>5106</v>
      </c>
      <c r="AH294" s="147">
        <v>28</v>
      </c>
      <c r="AI294" s="147" t="s">
        <v>4551</v>
      </c>
      <c r="AJ294" s="186">
        <v>235062</v>
      </c>
      <c r="AK294" s="147">
        <v>9</v>
      </c>
      <c r="AL294" s="97">
        <f t="shared" si="79"/>
        <v>722</v>
      </c>
      <c r="AM294" s="147">
        <f t="shared" si="78"/>
        <v>169714764</v>
      </c>
      <c r="AN294" s="147" t="s">
        <v>650</v>
      </c>
    </row>
    <row r="295" spans="7:44">
      <c r="G295" s="210" t="s">
        <v>5885</v>
      </c>
      <c r="H295" s="111">
        <v>1500094.75168</v>
      </c>
      <c r="R295" t="s">
        <v>25</v>
      </c>
      <c r="T295" s="187" t="s">
        <v>5264</v>
      </c>
      <c r="U295" s="187">
        <v>3326</v>
      </c>
      <c r="V295" s="186">
        <v>601.39300000000003</v>
      </c>
      <c r="W295" s="186">
        <f t="shared" si="76"/>
        <v>2000233.118</v>
      </c>
      <c r="X295" s="275" t="s">
        <v>5106</v>
      </c>
      <c r="Y295" t="s">
        <v>25</v>
      </c>
      <c r="AH295" s="147">
        <v>29</v>
      </c>
      <c r="AI295" s="147" t="s">
        <v>4570</v>
      </c>
      <c r="AJ295" s="186">
        <v>450000</v>
      </c>
      <c r="AK295" s="147">
        <v>0</v>
      </c>
      <c r="AL295" s="97">
        <f t="shared" si="79"/>
        <v>713</v>
      </c>
      <c r="AM295" s="147">
        <f t="shared" si="78"/>
        <v>320850000</v>
      </c>
      <c r="AN295" s="147" t="s">
        <v>650</v>
      </c>
    </row>
    <row r="296" spans="7:44">
      <c r="G296" s="210" t="s">
        <v>5887</v>
      </c>
      <c r="H296" s="111">
        <v>7230628.4378079996</v>
      </c>
      <c r="T296" s="187" t="s">
        <v>5274</v>
      </c>
      <c r="U296" s="187">
        <v>63259</v>
      </c>
      <c r="V296" s="186">
        <v>632.31960000000004</v>
      </c>
      <c r="W296" s="186">
        <f t="shared" si="76"/>
        <v>39999905.576400004</v>
      </c>
      <c r="X296" s="275" t="s">
        <v>1071</v>
      </c>
      <c r="Z296" t="s">
        <v>25</v>
      </c>
      <c r="AA296" t="s">
        <v>25</v>
      </c>
      <c r="AH296" s="20">
        <v>30</v>
      </c>
      <c r="AI296" s="20" t="s">
        <v>4570</v>
      </c>
      <c r="AJ296" s="115">
        <v>450000</v>
      </c>
      <c r="AK296" s="20">
        <v>22</v>
      </c>
      <c r="AL296" s="97">
        <f>AK296+AL297</f>
        <v>713</v>
      </c>
      <c r="AM296" s="20">
        <f t="shared" si="78"/>
        <v>320850000</v>
      </c>
      <c r="AN296" s="20"/>
    </row>
    <row r="297" spans="7:44">
      <c r="G297" s="210"/>
      <c r="H297" s="111"/>
      <c r="J297" t="s">
        <v>25</v>
      </c>
      <c r="Q297" s="97" t="s">
        <v>452</v>
      </c>
      <c r="R297" s="97"/>
      <c r="T297" s="19" t="s">
        <v>5278</v>
      </c>
      <c r="U297" s="19">
        <v>-1278</v>
      </c>
      <c r="V297" s="115">
        <v>625.98</v>
      </c>
      <c r="W297" s="115">
        <f t="shared" si="76"/>
        <v>-800002.44000000006</v>
      </c>
      <c r="X297" s="276" t="s">
        <v>5279</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c r="H298" s="111"/>
      <c r="Q298" s="97" t="s">
        <v>4403</v>
      </c>
      <c r="R298" s="93">
        <v>63115000</v>
      </c>
      <c r="T298" s="19" t="s">
        <v>5283</v>
      </c>
      <c r="U298" s="19">
        <v>32049</v>
      </c>
      <c r="V298" s="115">
        <v>624.04600000000005</v>
      </c>
      <c r="W298" s="115">
        <f t="shared" si="76"/>
        <v>20000050.254000001</v>
      </c>
      <c r="X298" s="276" t="s">
        <v>5145</v>
      </c>
      <c r="AH298" s="119">
        <v>32</v>
      </c>
      <c r="AI298" s="119" t="s">
        <v>4636</v>
      </c>
      <c r="AJ298" s="77">
        <v>288936</v>
      </c>
      <c r="AK298" s="119">
        <v>3</v>
      </c>
      <c r="AL298" s="119">
        <f t="shared" si="80"/>
        <v>691</v>
      </c>
      <c r="AM298" s="119">
        <f t="shared" si="81"/>
        <v>199654776</v>
      </c>
      <c r="AN298" s="202" t="s">
        <v>4647</v>
      </c>
    </row>
    <row r="299" spans="7:44" ht="30">
      <c r="G299" s="210"/>
      <c r="H299" s="111"/>
      <c r="Q299" s="97" t="s">
        <v>4449</v>
      </c>
      <c r="R299" s="93">
        <v>13300000</v>
      </c>
      <c r="T299" s="19" t="s">
        <v>5290</v>
      </c>
      <c r="U299" s="19">
        <v>45094</v>
      </c>
      <c r="V299" s="115">
        <v>614.13559759999998</v>
      </c>
      <c r="W299" s="115">
        <f t="shared" si="76"/>
        <v>27693830.6381744</v>
      </c>
      <c r="X299" s="276" t="s">
        <v>5292</v>
      </c>
      <c r="Y299" t="s">
        <v>25</v>
      </c>
      <c r="AH299" s="119">
        <v>33</v>
      </c>
      <c r="AI299" s="119" t="s">
        <v>4645</v>
      </c>
      <c r="AJ299" s="77">
        <v>17962491</v>
      </c>
      <c r="AK299" s="119">
        <v>1</v>
      </c>
      <c r="AL299" s="119">
        <f t="shared" si="80"/>
        <v>688</v>
      </c>
      <c r="AM299" s="119">
        <f t="shared" si="81"/>
        <v>12358193808</v>
      </c>
      <c r="AN299" s="119" t="s">
        <v>4652</v>
      </c>
    </row>
    <row r="300" spans="7:44" ht="30">
      <c r="G300" s="210" t="s">
        <v>5537</v>
      </c>
      <c r="H300" s="111">
        <v>-87000000</v>
      </c>
      <c r="Q300" s="97" t="s">
        <v>4457</v>
      </c>
      <c r="R300" s="93">
        <v>2269000</v>
      </c>
      <c r="T300" s="19" t="s">
        <v>5317</v>
      </c>
      <c r="U300" s="19">
        <v>-11804</v>
      </c>
      <c r="V300" s="115">
        <v>762.46640000000002</v>
      </c>
      <c r="W300" s="115">
        <f t="shared" si="76"/>
        <v>-9000153.3856000006</v>
      </c>
      <c r="X300" s="276" t="s">
        <v>5319</v>
      </c>
      <c r="AH300" s="119">
        <v>34</v>
      </c>
      <c r="AI300" s="119" t="s">
        <v>3668</v>
      </c>
      <c r="AJ300" s="77">
        <v>18363511</v>
      </c>
      <c r="AK300" s="119">
        <v>1</v>
      </c>
      <c r="AL300" s="119">
        <f t="shared" si="80"/>
        <v>687</v>
      </c>
      <c r="AM300" s="119">
        <f t="shared" si="81"/>
        <v>12615732057</v>
      </c>
      <c r="AN300" s="119" t="s">
        <v>4652</v>
      </c>
      <c r="AR300" t="s">
        <v>25</v>
      </c>
    </row>
    <row r="301" spans="7:44">
      <c r="G301" s="210"/>
      <c r="H301" s="111"/>
      <c r="Q301" s="97" t="s">
        <v>4560</v>
      </c>
      <c r="R301" s="93">
        <v>25071612</v>
      </c>
      <c r="T301" s="19" t="s">
        <v>5361</v>
      </c>
      <c r="U301" s="19">
        <v>844</v>
      </c>
      <c r="V301" s="115">
        <v>830</v>
      </c>
      <c r="W301" s="115">
        <f t="shared" si="76"/>
        <v>700520</v>
      </c>
      <c r="X301" s="276" t="s">
        <v>4410</v>
      </c>
      <c r="AH301" s="119">
        <v>35</v>
      </c>
      <c r="AI301" s="119" t="s">
        <v>4657</v>
      </c>
      <c r="AJ301" s="77">
        <v>23622417</v>
      </c>
      <c r="AK301" s="119">
        <v>5</v>
      </c>
      <c r="AL301" s="119">
        <f t="shared" si="80"/>
        <v>686</v>
      </c>
      <c r="AM301" s="119">
        <f t="shared" si="81"/>
        <v>16204978062</v>
      </c>
      <c r="AN301" s="119" t="s">
        <v>4659</v>
      </c>
    </row>
    <row r="302" spans="7:44">
      <c r="G302" s="210"/>
      <c r="H302" s="1"/>
      <c r="Q302" s="97" t="s">
        <v>4569</v>
      </c>
      <c r="R302" s="93">
        <v>42236984</v>
      </c>
      <c r="T302" s="19" t="s">
        <v>5365</v>
      </c>
      <c r="U302" s="19">
        <v>8662</v>
      </c>
      <c r="V302" s="115">
        <v>832.57011999999997</v>
      </c>
      <c r="W302" s="115">
        <f t="shared" si="76"/>
        <v>7211722.3794399993</v>
      </c>
      <c r="X302" s="276" t="s">
        <v>5140</v>
      </c>
      <c r="AA302" t="s">
        <v>25</v>
      </c>
      <c r="AH302" s="119">
        <v>36</v>
      </c>
      <c r="AI302" s="119" t="s">
        <v>4672</v>
      </c>
      <c r="AJ302" s="77">
        <v>82496108</v>
      </c>
      <c r="AK302" s="119">
        <v>1</v>
      </c>
      <c r="AL302" s="119">
        <f t="shared" si="80"/>
        <v>681</v>
      </c>
      <c r="AM302" s="119">
        <f t="shared" si="81"/>
        <v>56179849548</v>
      </c>
      <c r="AN302" s="119" t="s">
        <v>4675</v>
      </c>
    </row>
    <row r="303" spans="7:44" ht="30">
      <c r="G303" s="210"/>
      <c r="H303" s="1"/>
      <c r="Q303" s="97" t="s">
        <v>4570</v>
      </c>
      <c r="R303" s="93">
        <v>19663646</v>
      </c>
      <c r="T303" s="19" t="s">
        <v>5366</v>
      </c>
      <c r="U303" s="19">
        <v>10253</v>
      </c>
      <c r="V303" s="115">
        <v>827.2568</v>
      </c>
      <c r="W303" s="115">
        <f t="shared" si="76"/>
        <v>8481863.9704</v>
      </c>
      <c r="X303" s="276" t="s">
        <v>5373</v>
      </c>
      <c r="AH303" s="119">
        <v>37</v>
      </c>
      <c r="AI303" s="119" t="s">
        <v>4674</v>
      </c>
      <c r="AJ303" s="77">
        <v>74657561</v>
      </c>
      <c r="AK303" s="119">
        <v>16</v>
      </c>
      <c r="AL303" s="119">
        <f t="shared" si="80"/>
        <v>680</v>
      </c>
      <c r="AM303" s="119">
        <f t="shared" si="81"/>
        <v>50767141480</v>
      </c>
      <c r="AN303" s="119" t="s">
        <v>4680</v>
      </c>
    </row>
    <row r="304" spans="7:44">
      <c r="G304" s="210"/>
      <c r="H304" s="1"/>
      <c r="P304" t="s">
        <v>25</v>
      </c>
      <c r="Q304" s="97" t="s">
        <v>4593</v>
      </c>
      <c r="R304" s="93">
        <v>4374525</v>
      </c>
      <c r="T304" s="242" t="s">
        <v>5374</v>
      </c>
      <c r="U304" s="242">
        <v>-33077</v>
      </c>
      <c r="V304" s="243">
        <v>786.02973999999995</v>
      </c>
      <c r="W304" s="243">
        <f t="shared" si="76"/>
        <v>-25999505.70998</v>
      </c>
      <c r="X304" s="284" t="s">
        <v>5377</v>
      </c>
      <c r="Y304" t="s">
        <v>25</v>
      </c>
      <c r="AH304" s="97">
        <v>38</v>
      </c>
      <c r="AI304" s="97" t="s">
        <v>4748</v>
      </c>
      <c r="AJ304" s="115">
        <v>665000</v>
      </c>
      <c r="AK304" s="97">
        <v>0</v>
      </c>
      <c r="AL304" s="97">
        <f t="shared" si="80"/>
        <v>664</v>
      </c>
      <c r="AM304" s="20">
        <f t="shared" si="81"/>
        <v>441560000</v>
      </c>
      <c r="AN304" s="97"/>
    </row>
    <row r="305" spans="7:40">
      <c r="G305" s="210" t="s">
        <v>6</v>
      </c>
      <c r="H305" s="1">
        <f>SUM(H202:H304)</f>
        <v>1413127396.0697391</v>
      </c>
      <c r="P305" t="s">
        <v>25</v>
      </c>
      <c r="Q305" s="97" t="s">
        <v>4604</v>
      </c>
      <c r="R305" s="93">
        <v>6550580</v>
      </c>
      <c r="T305" s="19" t="s">
        <v>5374</v>
      </c>
      <c r="U305" s="19">
        <v>-33077</v>
      </c>
      <c r="V305" s="115">
        <v>786.02973999999995</v>
      </c>
      <c r="W305" s="115">
        <f t="shared" si="76"/>
        <v>-25999505.70998</v>
      </c>
      <c r="X305" s="276" t="s">
        <v>5378</v>
      </c>
      <c r="Y305" t="s">
        <v>25</v>
      </c>
      <c r="Z305" t="s">
        <v>25</v>
      </c>
      <c r="AH305" s="147">
        <v>39</v>
      </c>
      <c r="AI305" s="147" t="s">
        <v>4748</v>
      </c>
      <c r="AJ305" s="186">
        <v>665000</v>
      </c>
      <c r="AK305" s="147">
        <v>4</v>
      </c>
      <c r="AL305" s="193">
        <f t="shared" si="80"/>
        <v>664</v>
      </c>
      <c r="AM305" s="193">
        <f t="shared" si="81"/>
        <v>441560000</v>
      </c>
      <c r="AN305" s="193"/>
    </row>
    <row r="306" spans="7:40">
      <c r="G306" s="313"/>
      <c r="H306" s="1"/>
      <c r="Q306" s="97" t="s">
        <v>4606</v>
      </c>
      <c r="R306" s="93">
        <v>7054895</v>
      </c>
      <c r="T306" s="19" t="s">
        <v>5374</v>
      </c>
      <c r="U306" s="19">
        <v>1983</v>
      </c>
      <c r="V306" s="115">
        <v>786.02973999999995</v>
      </c>
      <c r="W306" s="115">
        <f t="shared" si="76"/>
        <v>1558696.9744199999</v>
      </c>
      <c r="X306" s="276" t="s">
        <v>5140</v>
      </c>
      <c r="AA306" t="s">
        <v>25</v>
      </c>
      <c r="AH306" s="20">
        <v>40</v>
      </c>
      <c r="AI306" s="20" t="s">
        <v>4757</v>
      </c>
      <c r="AJ306" s="115">
        <v>2000000</v>
      </c>
      <c r="AK306" s="20">
        <v>1</v>
      </c>
      <c r="AL306" s="97">
        <f t="shared" si="80"/>
        <v>660</v>
      </c>
      <c r="AM306" s="20">
        <f t="shared" si="81"/>
        <v>1320000000</v>
      </c>
      <c r="AN306" s="97"/>
    </row>
    <row r="307" spans="7:40">
      <c r="Q307" s="97" t="s">
        <v>4623</v>
      </c>
      <c r="R307" s="93">
        <v>2145814</v>
      </c>
      <c r="T307" s="242" t="s">
        <v>5379</v>
      </c>
      <c r="U307" s="242">
        <v>-119753</v>
      </c>
      <c r="V307" s="243">
        <v>800.81560000000002</v>
      </c>
      <c r="W307" s="243">
        <f t="shared" si="76"/>
        <v>-95900070.546800002</v>
      </c>
      <c r="X307" s="284" t="s">
        <v>5377</v>
      </c>
      <c r="AH307" s="20">
        <v>41</v>
      </c>
      <c r="AI307" s="20" t="s">
        <v>4762</v>
      </c>
      <c r="AJ307" s="115">
        <v>-2060725</v>
      </c>
      <c r="AK307" s="20">
        <v>0</v>
      </c>
      <c r="AL307" s="97">
        <f t="shared" si="80"/>
        <v>659</v>
      </c>
      <c r="AM307" s="20">
        <f t="shared" ref="AM307:AM312" si="82">AJ307*AL307</f>
        <v>-1358017775</v>
      </c>
      <c r="AN307" s="97" t="s">
        <v>4763</v>
      </c>
    </row>
    <row r="308" spans="7:40">
      <c r="Q308" s="97" t="s">
        <v>4634</v>
      </c>
      <c r="R308" s="93">
        <v>4369730</v>
      </c>
      <c r="T308" s="19" t="s">
        <v>5379</v>
      </c>
      <c r="U308" s="19">
        <v>-119753</v>
      </c>
      <c r="V308" s="115">
        <v>800.81560000000002</v>
      </c>
      <c r="W308" s="115">
        <f t="shared" si="76"/>
        <v>-95900070.546800002</v>
      </c>
      <c r="X308" s="276" t="s">
        <v>5378</v>
      </c>
      <c r="AH308" s="147">
        <v>42</v>
      </c>
      <c r="AI308" s="147" t="s">
        <v>4762</v>
      </c>
      <c r="AJ308" s="186">
        <v>-433375</v>
      </c>
      <c r="AK308" s="147">
        <v>0</v>
      </c>
      <c r="AL308" s="147">
        <f t="shared" si="80"/>
        <v>659</v>
      </c>
      <c r="AM308" s="147">
        <f t="shared" si="82"/>
        <v>-285594125</v>
      </c>
      <c r="AN308" s="147" t="s">
        <v>4764</v>
      </c>
    </row>
    <row r="309" spans="7:40">
      <c r="G309" s="94"/>
      <c r="H309" s="9" t="s">
        <v>452</v>
      </c>
      <c r="Q309" s="97" t="s">
        <v>4636</v>
      </c>
      <c r="R309" s="93">
        <v>8739459</v>
      </c>
      <c r="T309" s="19" t="s">
        <v>5379</v>
      </c>
      <c r="U309" s="19">
        <v>11291</v>
      </c>
      <c r="V309" s="115">
        <v>800.81560000000002</v>
      </c>
      <c r="W309" s="115">
        <f t="shared" si="76"/>
        <v>9042008.9396000002</v>
      </c>
      <c r="X309" s="276" t="s">
        <v>452</v>
      </c>
      <c r="AH309" s="20">
        <v>43</v>
      </c>
      <c r="AI309" s="20" t="s">
        <v>4762</v>
      </c>
      <c r="AJ309" s="115">
        <v>28000000</v>
      </c>
      <c r="AK309" s="20">
        <v>1</v>
      </c>
      <c r="AL309" s="97">
        <f t="shared" si="80"/>
        <v>659</v>
      </c>
      <c r="AM309" s="20">
        <f t="shared" si="82"/>
        <v>18452000000</v>
      </c>
      <c r="AN309" s="97" t="s">
        <v>3875</v>
      </c>
    </row>
    <row r="310" spans="7:40">
      <c r="G310" s="94"/>
      <c r="H310" s="9" t="s">
        <v>744</v>
      </c>
      <c r="Q310" s="97" t="s">
        <v>4645</v>
      </c>
      <c r="R310" s="93">
        <v>6667654</v>
      </c>
      <c r="T310" s="187" t="s">
        <v>5380</v>
      </c>
      <c r="U310" s="187">
        <v>-35361</v>
      </c>
      <c r="V310" s="186">
        <v>818.697</v>
      </c>
      <c r="W310" s="186">
        <f t="shared" si="76"/>
        <v>-28949944.616999999</v>
      </c>
      <c r="X310" s="275" t="s">
        <v>5377</v>
      </c>
      <c r="AH310" s="20">
        <v>44</v>
      </c>
      <c r="AI310" s="20" t="s">
        <v>4771</v>
      </c>
      <c r="AJ310" s="115">
        <v>160000</v>
      </c>
      <c r="AK310" s="20">
        <v>0</v>
      </c>
      <c r="AL310" s="97">
        <f t="shared" si="80"/>
        <v>658</v>
      </c>
      <c r="AM310" s="20">
        <f t="shared" si="82"/>
        <v>105280000</v>
      </c>
      <c r="AN310" s="97"/>
    </row>
    <row r="311" spans="7:40">
      <c r="G311" s="94"/>
      <c r="H311" s="9" t="s">
        <v>5458</v>
      </c>
      <c r="Q311" s="97" t="s">
        <v>3668</v>
      </c>
      <c r="R311" s="93">
        <v>8981245</v>
      </c>
      <c r="T311" s="19" t="s">
        <v>5380</v>
      </c>
      <c r="U311" s="19">
        <v>-35361</v>
      </c>
      <c r="V311" s="115">
        <v>818.697</v>
      </c>
      <c r="W311" s="115">
        <f t="shared" si="76"/>
        <v>-28949944.616999999</v>
      </c>
      <c r="X311" s="276" t="s">
        <v>5378</v>
      </c>
      <c r="AH311" s="147">
        <v>45</v>
      </c>
      <c r="AI311" s="147" t="s">
        <v>4771</v>
      </c>
      <c r="AJ311" s="186">
        <v>70000</v>
      </c>
      <c r="AK311" s="147">
        <v>9</v>
      </c>
      <c r="AL311" s="147">
        <f t="shared" si="80"/>
        <v>658</v>
      </c>
      <c r="AM311" s="147">
        <f t="shared" si="82"/>
        <v>46060000</v>
      </c>
      <c r="AN311" s="147"/>
    </row>
    <row r="312" spans="7:40">
      <c r="G312" s="94"/>
      <c r="H312" s="9" t="s">
        <v>1071</v>
      </c>
      <c r="Q312" s="97" t="s">
        <v>4657</v>
      </c>
      <c r="R312" s="93">
        <v>9181756</v>
      </c>
      <c r="T312" s="19" t="s">
        <v>5380</v>
      </c>
      <c r="U312" s="19">
        <v>116</v>
      </c>
      <c r="V312" s="115">
        <v>818.697</v>
      </c>
      <c r="W312" s="115">
        <f t="shared" si="76"/>
        <v>94968.851999999999</v>
      </c>
      <c r="X312" s="276" t="s">
        <v>5140</v>
      </c>
      <c r="AH312" s="20">
        <v>46</v>
      </c>
      <c r="AI312" s="20" t="s">
        <v>4778</v>
      </c>
      <c r="AJ312" s="115">
        <v>850000</v>
      </c>
      <c r="AK312" s="20">
        <v>0</v>
      </c>
      <c r="AL312" s="97">
        <f t="shared" si="80"/>
        <v>649</v>
      </c>
      <c r="AM312" s="20">
        <f t="shared" si="82"/>
        <v>551650000</v>
      </c>
      <c r="AN312" s="97"/>
    </row>
    <row r="313" spans="7:40">
      <c r="H313" s="9" t="s">
        <v>5395</v>
      </c>
      <c r="Q313" s="97" t="s">
        <v>4660</v>
      </c>
      <c r="R313" s="93">
        <v>11811208</v>
      </c>
      <c r="T313" s="19" t="s">
        <v>5384</v>
      </c>
      <c r="U313" s="19">
        <v>48633</v>
      </c>
      <c r="V313" s="115">
        <v>822.47199999999998</v>
      </c>
      <c r="W313" s="115">
        <f t="shared" si="76"/>
        <v>39999280.776000001</v>
      </c>
      <c r="X313" s="276" t="s">
        <v>5387</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H314" s="9" t="s">
        <v>5578</v>
      </c>
      <c r="Q314" s="97" t="s">
        <v>4674</v>
      </c>
      <c r="R314" s="93">
        <v>41248054</v>
      </c>
      <c r="T314" s="19" t="s">
        <v>5384</v>
      </c>
      <c r="U314" s="19">
        <v>3412</v>
      </c>
      <c r="V314" s="115">
        <v>822.47199999999998</v>
      </c>
      <c r="W314" s="115">
        <f t="shared" si="76"/>
        <v>2806274.4640000002</v>
      </c>
      <c r="X314" s="276" t="s">
        <v>5389</v>
      </c>
      <c r="Y314" t="s">
        <v>25</v>
      </c>
      <c r="AH314" s="193">
        <v>48</v>
      </c>
      <c r="AI314" s="193" t="s">
        <v>4791</v>
      </c>
      <c r="AJ314" s="194">
        <v>30000000</v>
      </c>
      <c r="AK314" s="193">
        <v>27</v>
      </c>
      <c r="AL314" s="193">
        <f t="shared" si="83"/>
        <v>645</v>
      </c>
      <c r="AM314" s="193">
        <f t="shared" si="84"/>
        <v>19350000000</v>
      </c>
      <c r="AN314" s="193" t="s">
        <v>4792</v>
      </c>
    </row>
    <row r="315" spans="7:40">
      <c r="H315" s="314" t="s">
        <v>5579</v>
      </c>
      <c r="Q315" s="97" t="s">
        <v>4681</v>
      </c>
      <c r="R315" s="93">
        <v>37328780</v>
      </c>
      <c r="T315" s="19" t="s">
        <v>5385</v>
      </c>
      <c r="U315" s="19">
        <v>1531</v>
      </c>
      <c r="V315" s="115">
        <v>869.82500000000005</v>
      </c>
      <c r="W315" s="115">
        <f t="shared" si="76"/>
        <v>1331702.075</v>
      </c>
      <c r="X315" s="276" t="s">
        <v>5390</v>
      </c>
      <c r="Z315" t="s">
        <v>25</v>
      </c>
      <c r="AH315" s="20">
        <v>49</v>
      </c>
      <c r="AI315" s="20" t="s">
        <v>4865</v>
      </c>
      <c r="AJ315" s="115">
        <v>1100000</v>
      </c>
      <c r="AK315" s="20">
        <v>1</v>
      </c>
      <c r="AL315" s="20">
        <f t="shared" si="83"/>
        <v>618</v>
      </c>
      <c r="AM315" s="20">
        <f t="shared" si="84"/>
        <v>679800000</v>
      </c>
      <c r="AN315" s="20"/>
    </row>
    <row r="316" spans="7:40">
      <c r="H316" s="314" t="s">
        <v>744</v>
      </c>
      <c r="Q316" s="97" t="s">
        <v>4687</v>
      </c>
      <c r="R316" s="93">
        <v>50000000</v>
      </c>
      <c r="S316" s="112"/>
      <c r="T316" s="170" t="s">
        <v>5393</v>
      </c>
      <c r="U316" s="170">
        <v>2394</v>
      </c>
      <c r="V316" s="168">
        <v>835.36580000000004</v>
      </c>
      <c r="W316" s="168">
        <f t="shared" si="76"/>
        <v>1999865.7252</v>
      </c>
      <c r="X316" s="285" t="s">
        <v>5395</v>
      </c>
      <c r="Y316" t="s">
        <v>25</v>
      </c>
      <c r="Z316" t="s">
        <v>25</v>
      </c>
      <c r="AH316" s="20">
        <v>50</v>
      </c>
      <c r="AI316" s="20" t="s">
        <v>4866</v>
      </c>
      <c r="AJ316" s="115">
        <v>450000</v>
      </c>
      <c r="AK316" s="20">
        <v>0</v>
      </c>
      <c r="AL316" s="20">
        <f t="shared" si="83"/>
        <v>617</v>
      </c>
      <c r="AM316" s="20">
        <f t="shared" si="84"/>
        <v>277650000</v>
      </c>
      <c r="AN316" s="20"/>
    </row>
    <row r="317" spans="7:40">
      <c r="H317" s="9" t="s">
        <v>5580</v>
      </c>
      <c r="Q317" s="97" t="s">
        <v>4748</v>
      </c>
      <c r="R317" s="93">
        <v>68656</v>
      </c>
      <c r="T317" s="19" t="s">
        <v>5393</v>
      </c>
      <c r="U317" s="19">
        <v>1019</v>
      </c>
      <c r="V317" s="115">
        <v>835.36580000000004</v>
      </c>
      <c r="W317" s="115">
        <f t="shared" si="76"/>
        <v>851237.75020000001</v>
      </c>
      <c r="X317" s="276" t="s">
        <v>452</v>
      </c>
      <c r="Y317" t="s">
        <v>25</v>
      </c>
      <c r="AH317" s="147">
        <v>51</v>
      </c>
      <c r="AI317" s="147" t="s">
        <v>4866</v>
      </c>
      <c r="AJ317" s="186">
        <v>550000</v>
      </c>
      <c r="AK317" s="147">
        <v>1</v>
      </c>
      <c r="AL317" s="147">
        <f t="shared" si="83"/>
        <v>617</v>
      </c>
      <c r="AM317" s="147">
        <f t="shared" si="84"/>
        <v>339350000</v>
      </c>
      <c r="AN317" s="147"/>
    </row>
    <row r="318" spans="7:40">
      <c r="H318" s="9" t="s">
        <v>5581</v>
      </c>
      <c r="Q318" s="97" t="s">
        <v>4757</v>
      </c>
      <c r="R318" s="93">
        <v>4000236</v>
      </c>
      <c r="T318" s="187" t="s">
        <v>5399</v>
      </c>
      <c r="U318" s="187">
        <v>2316</v>
      </c>
      <c r="V318" s="186">
        <v>818.697</v>
      </c>
      <c r="W318" s="186">
        <f t="shared" si="76"/>
        <v>1896102.2520000001</v>
      </c>
      <c r="X318" s="275" t="s">
        <v>5402</v>
      </c>
      <c r="Y318" t="s">
        <v>25</v>
      </c>
      <c r="AH318" s="147">
        <v>52</v>
      </c>
      <c r="AI318" s="147" t="s">
        <v>4868</v>
      </c>
      <c r="AJ318" s="186">
        <v>1000000</v>
      </c>
      <c r="AK318" s="147">
        <v>8</v>
      </c>
      <c r="AL318" s="147">
        <f t="shared" si="83"/>
        <v>616</v>
      </c>
      <c r="AM318" s="147">
        <f t="shared" si="84"/>
        <v>616000000</v>
      </c>
      <c r="AN318" s="147"/>
    </row>
    <row r="319" spans="7:40">
      <c r="H319" s="9" t="s">
        <v>5610</v>
      </c>
      <c r="Q319" s="97" t="s">
        <v>4757</v>
      </c>
      <c r="R319" s="93">
        <v>2250000</v>
      </c>
      <c r="T319" s="19" t="s">
        <v>5405</v>
      </c>
      <c r="U319" s="19">
        <v>315</v>
      </c>
      <c r="V319" s="115">
        <v>680</v>
      </c>
      <c r="W319" s="115">
        <f t="shared" si="76"/>
        <v>214200</v>
      </c>
      <c r="X319" s="276" t="s">
        <v>5140</v>
      </c>
      <c r="Y319" t="s">
        <v>25</v>
      </c>
      <c r="AA319" t="s">
        <v>25</v>
      </c>
      <c r="AH319" s="20">
        <v>53</v>
      </c>
      <c r="AI319" s="20" t="s">
        <v>4877</v>
      </c>
      <c r="AJ319" s="115">
        <v>-2668880</v>
      </c>
      <c r="AK319" s="20">
        <v>0</v>
      </c>
      <c r="AL319" s="20">
        <f t="shared" si="83"/>
        <v>608</v>
      </c>
      <c r="AM319" s="20">
        <f t="shared" si="84"/>
        <v>-1622679040</v>
      </c>
      <c r="AN319" s="20" t="s">
        <v>4879</v>
      </c>
    </row>
    <row r="320" spans="7:40">
      <c r="H320" s="314"/>
      <c r="Q320" s="97" t="s">
        <v>4762</v>
      </c>
      <c r="R320" s="93">
        <v>-2512200</v>
      </c>
      <c r="T320" s="19" t="s">
        <v>5427</v>
      </c>
      <c r="U320" s="19">
        <v>832</v>
      </c>
      <c r="V320" s="115">
        <v>784.36500000000001</v>
      </c>
      <c r="W320" s="115">
        <f t="shared" si="76"/>
        <v>652591.68000000005</v>
      </c>
      <c r="X320" s="276" t="s">
        <v>5140</v>
      </c>
      <c r="AH320" s="147">
        <v>54</v>
      </c>
      <c r="AI320" s="147" t="s">
        <v>4877</v>
      </c>
      <c r="AJ320" s="186">
        <v>-1528620</v>
      </c>
      <c r="AK320" s="147">
        <v>0</v>
      </c>
      <c r="AL320" s="147">
        <f t="shared" si="83"/>
        <v>608</v>
      </c>
      <c r="AM320" s="147">
        <f t="shared" si="84"/>
        <v>-929400960</v>
      </c>
      <c r="AN320" s="147" t="s">
        <v>4879</v>
      </c>
    </row>
    <row r="321" spans="17:44">
      <c r="Q321" s="97" t="s">
        <v>4771</v>
      </c>
      <c r="R321" s="93">
        <v>300000</v>
      </c>
      <c r="T321" s="19" t="s">
        <v>5475</v>
      </c>
      <c r="U321" s="19">
        <v>382</v>
      </c>
      <c r="V321" s="115">
        <v>1450.6065000000001</v>
      </c>
      <c r="W321" s="115">
        <f t="shared" si="76"/>
        <v>554131.68300000008</v>
      </c>
      <c r="X321" s="276" t="s">
        <v>5140</v>
      </c>
      <c r="AA321" t="s">
        <v>25</v>
      </c>
      <c r="AH321" s="20">
        <v>55</v>
      </c>
      <c r="AI321" s="20" t="s">
        <v>4877</v>
      </c>
      <c r="AJ321" s="115">
        <v>50000000</v>
      </c>
      <c r="AK321" s="20">
        <v>4</v>
      </c>
      <c r="AL321" s="20">
        <f t="shared" si="83"/>
        <v>608</v>
      </c>
      <c r="AM321" s="20">
        <f t="shared" si="84"/>
        <v>30400000000</v>
      </c>
      <c r="AN321" s="20"/>
    </row>
    <row r="322" spans="17:44">
      <c r="Q322" s="97" t="s">
        <v>966</v>
      </c>
      <c r="R322" s="93">
        <v>1100000</v>
      </c>
      <c r="T322" s="19" t="s">
        <v>5476</v>
      </c>
      <c r="U322" s="19">
        <v>50047</v>
      </c>
      <c r="V322" s="115">
        <v>1406.14</v>
      </c>
      <c r="W322" s="115">
        <f t="shared" si="76"/>
        <v>70373088.579999998</v>
      </c>
      <c r="X322" s="276" t="s">
        <v>5140</v>
      </c>
      <c r="Y322" t="s">
        <v>25</v>
      </c>
      <c r="AH322" s="20">
        <v>56</v>
      </c>
      <c r="AI322" s="20" t="s">
        <v>4883</v>
      </c>
      <c r="AJ322" s="115">
        <v>400000</v>
      </c>
      <c r="AK322" s="20">
        <v>4</v>
      </c>
      <c r="AL322" s="20">
        <f t="shared" ref="AL322:AL331" si="85">AK322+AL323</f>
        <v>604</v>
      </c>
      <c r="AM322" s="20">
        <f t="shared" ref="AM322:AM331" si="86">AJ322*AL322</f>
        <v>241600000</v>
      </c>
      <c r="AN322" s="20"/>
    </row>
    <row r="323" spans="17:44">
      <c r="Q323" s="97" t="s">
        <v>4778</v>
      </c>
      <c r="R323" s="93">
        <v>890000</v>
      </c>
      <c r="T323" s="19" t="s">
        <v>5477</v>
      </c>
      <c r="U323" s="19">
        <v>846</v>
      </c>
      <c r="V323" s="115">
        <v>1441.6724569999999</v>
      </c>
      <c r="W323" s="115">
        <f t="shared" si="76"/>
        <v>1219654.8986219999</v>
      </c>
      <c r="X323" s="276" t="s">
        <v>5140</v>
      </c>
      <c r="Y323" t="s">
        <v>25</v>
      </c>
      <c r="AH323" s="20">
        <v>57</v>
      </c>
      <c r="AI323" s="20" t="s">
        <v>4893</v>
      </c>
      <c r="AJ323" s="115">
        <v>2000000</v>
      </c>
      <c r="AK323" s="20">
        <v>3</v>
      </c>
      <c r="AL323" s="20">
        <f t="shared" si="85"/>
        <v>600</v>
      </c>
      <c r="AM323" s="20">
        <f t="shared" si="86"/>
        <v>1200000000</v>
      </c>
      <c r="AN323" s="20"/>
    </row>
    <row r="324" spans="17:44">
      <c r="Q324" s="97" t="s">
        <v>4798</v>
      </c>
      <c r="R324" s="93">
        <v>1000000</v>
      </c>
      <c r="T324" s="19" t="s">
        <v>5478</v>
      </c>
      <c r="U324" s="19">
        <v>10573</v>
      </c>
      <c r="V324" s="115">
        <v>1451.825</v>
      </c>
      <c r="W324" s="115">
        <f t="shared" si="76"/>
        <v>15350145.725</v>
      </c>
      <c r="X324" s="276" t="s">
        <v>5140</v>
      </c>
      <c r="Y324" t="s">
        <v>25</v>
      </c>
      <c r="AH324" s="20">
        <v>58</v>
      </c>
      <c r="AI324" s="20" t="s">
        <v>4896</v>
      </c>
      <c r="AJ324" s="115">
        <v>100000</v>
      </c>
      <c r="AK324" s="20">
        <v>4</v>
      </c>
      <c r="AL324" s="20">
        <f t="shared" si="85"/>
        <v>597</v>
      </c>
      <c r="AM324" s="20">
        <f t="shared" si="86"/>
        <v>59700000</v>
      </c>
      <c r="AN324" s="20" t="s">
        <v>3875</v>
      </c>
    </row>
    <row r="325" spans="17:44" ht="30">
      <c r="Q325" s="97" t="s">
        <v>4799</v>
      </c>
      <c r="R325" s="93">
        <v>45436311</v>
      </c>
      <c r="T325" s="19" t="s">
        <v>5479</v>
      </c>
      <c r="U325" s="19">
        <v>85</v>
      </c>
      <c r="V325" s="115">
        <v>1423.74</v>
      </c>
      <c r="W325" s="115">
        <f t="shared" si="76"/>
        <v>121017.9</v>
      </c>
      <c r="X325" s="276" t="s">
        <v>5480</v>
      </c>
      <c r="AA325" t="s">
        <v>25</v>
      </c>
      <c r="AH325" s="20">
        <v>59</v>
      </c>
      <c r="AI325" s="20" t="s">
        <v>4903</v>
      </c>
      <c r="AJ325" s="115">
        <v>100000</v>
      </c>
      <c r="AK325" s="20">
        <v>7</v>
      </c>
      <c r="AL325" s="20">
        <f t="shared" si="85"/>
        <v>593</v>
      </c>
      <c r="AM325" s="20">
        <f t="shared" si="86"/>
        <v>59300000</v>
      </c>
      <c r="AN325" s="20"/>
    </row>
    <row r="326" spans="17:44" ht="30">
      <c r="Q326" s="97" t="s">
        <v>4799</v>
      </c>
      <c r="R326" s="93">
        <v>-3500000</v>
      </c>
      <c r="T326" s="19" t="s">
        <v>5483</v>
      </c>
      <c r="U326" s="19">
        <v>738</v>
      </c>
      <c r="V326" s="115">
        <v>1388.87895</v>
      </c>
      <c r="W326" s="115">
        <f t="shared" si="76"/>
        <v>1024992.6651</v>
      </c>
      <c r="X326" s="276" t="s">
        <v>5491</v>
      </c>
      <c r="AA326" t="s">
        <v>25</v>
      </c>
      <c r="AH326" s="20">
        <v>60</v>
      </c>
      <c r="AI326" s="20" t="s">
        <v>4916</v>
      </c>
      <c r="AJ326" s="115">
        <v>50000</v>
      </c>
      <c r="AK326" s="20">
        <v>0</v>
      </c>
      <c r="AL326" s="20">
        <f t="shared" si="85"/>
        <v>586</v>
      </c>
      <c r="AM326" s="20">
        <f t="shared" si="86"/>
        <v>29300000</v>
      </c>
      <c r="AN326" s="20"/>
    </row>
    <row r="327" spans="17:44">
      <c r="Q327" s="97" t="s">
        <v>4811</v>
      </c>
      <c r="R327" s="93">
        <v>2520000</v>
      </c>
      <c r="T327" s="19" t="s">
        <v>5499</v>
      </c>
      <c r="U327" s="19">
        <v>1442</v>
      </c>
      <c r="V327" s="115">
        <v>1350.9547279999999</v>
      </c>
      <c r="W327" s="115">
        <f t="shared" si="76"/>
        <v>1948076.7177759998</v>
      </c>
      <c r="X327" s="276" t="s">
        <v>5140</v>
      </c>
      <c r="Z327" t="s">
        <v>25</v>
      </c>
      <c r="AH327" s="147">
        <v>61</v>
      </c>
      <c r="AI327" s="147" t="s">
        <v>4916</v>
      </c>
      <c r="AJ327" s="186">
        <v>50000</v>
      </c>
      <c r="AK327" s="147">
        <v>3</v>
      </c>
      <c r="AL327" s="147">
        <f t="shared" si="85"/>
        <v>586</v>
      </c>
      <c r="AM327" s="147">
        <f t="shared" si="86"/>
        <v>29300000</v>
      </c>
      <c r="AN327" s="147"/>
    </row>
    <row r="328" spans="17:44">
      <c r="Q328" s="97" t="s">
        <v>4846</v>
      </c>
      <c r="R328" s="93">
        <v>4900000</v>
      </c>
      <c r="T328" s="19" t="s">
        <v>5500</v>
      </c>
      <c r="U328" s="19">
        <v>36847</v>
      </c>
      <c r="V328" s="115">
        <v>1356.9658300000001</v>
      </c>
      <c r="W328" s="115">
        <f t="shared" si="76"/>
        <v>50000119.938010007</v>
      </c>
      <c r="X328" s="276" t="s">
        <v>5145</v>
      </c>
      <c r="AH328" s="20">
        <v>62</v>
      </c>
      <c r="AI328" s="20" t="s">
        <v>4919</v>
      </c>
      <c r="AJ328" s="115">
        <v>50000</v>
      </c>
      <c r="AK328" s="20">
        <v>0</v>
      </c>
      <c r="AL328" s="20">
        <f t="shared" si="85"/>
        <v>583</v>
      </c>
      <c r="AM328" s="20">
        <f t="shared" si="86"/>
        <v>29150000</v>
      </c>
      <c r="AN328" s="20"/>
    </row>
    <row r="329" spans="17:44" ht="30">
      <c r="Q329" s="97" t="s">
        <v>4865</v>
      </c>
      <c r="R329" s="93">
        <v>1150000</v>
      </c>
      <c r="T329" s="19" t="s">
        <v>5501</v>
      </c>
      <c r="U329" s="19">
        <v>13738</v>
      </c>
      <c r="V329" s="115">
        <v>1455.82</v>
      </c>
      <c r="W329" s="115">
        <f t="shared" si="76"/>
        <v>20000055.16</v>
      </c>
      <c r="X329" s="276" t="s">
        <v>5520</v>
      </c>
      <c r="Y329" t="s">
        <v>25</v>
      </c>
      <c r="AH329" s="193">
        <v>63</v>
      </c>
      <c r="AI329" s="193" t="s">
        <v>4919</v>
      </c>
      <c r="AJ329" s="194">
        <v>50000</v>
      </c>
      <c r="AK329" s="193">
        <v>2</v>
      </c>
      <c r="AL329" s="193">
        <f t="shared" si="85"/>
        <v>583</v>
      </c>
      <c r="AM329" s="193">
        <f t="shared" si="86"/>
        <v>29150000</v>
      </c>
      <c r="AN329" s="193"/>
    </row>
    <row r="330" spans="17:44">
      <c r="Q330" s="97" t="s">
        <v>4818</v>
      </c>
      <c r="R330" s="93">
        <v>250000</v>
      </c>
      <c r="T330" s="19" t="s">
        <v>5529</v>
      </c>
      <c r="U330" s="19">
        <v>3100</v>
      </c>
      <c r="V330" s="115">
        <v>1853.4507470000001</v>
      </c>
      <c r="W330" s="115">
        <f t="shared" si="76"/>
        <v>5745697.3157000002</v>
      </c>
      <c r="X330" s="276" t="s">
        <v>5140</v>
      </c>
      <c r="AH330" s="20">
        <v>64</v>
      </c>
      <c r="AI330" s="20" t="s">
        <v>4926</v>
      </c>
      <c r="AJ330" s="115">
        <v>25000</v>
      </c>
      <c r="AK330" s="20">
        <v>0</v>
      </c>
      <c r="AL330" s="20">
        <f t="shared" si="85"/>
        <v>581</v>
      </c>
      <c r="AM330" s="20">
        <f t="shared" si="86"/>
        <v>14525000</v>
      </c>
      <c r="AN330" s="20"/>
    </row>
    <row r="331" spans="17:44">
      <c r="Q331" s="97" t="s">
        <v>4900</v>
      </c>
      <c r="R331" s="93">
        <v>1403460</v>
      </c>
      <c r="T331" s="19" t="s">
        <v>5530</v>
      </c>
      <c r="U331" s="19">
        <v>480</v>
      </c>
      <c r="V331" s="115">
        <v>1891.9962069999999</v>
      </c>
      <c r="W331" s="115">
        <f t="shared" si="76"/>
        <v>908158.17935999995</v>
      </c>
      <c r="X331" s="276" t="s">
        <v>5140</v>
      </c>
      <c r="Y331" t="s">
        <v>25</v>
      </c>
      <c r="AH331" s="147">
        <v>65</v>
      </c>
      <c r="AI331" s="147" t="s">
        <v>4926</v>
      </c>
      <c r="AJ331" s="186">
        <v>35000</v>
      </c>
      <c r="AK331" s="147">
        <v>7</v>
      </c>
      <c r="AL331" s="147">
        <f t="shared" si="85"/>
        <v>581</v>
      </c>
      <c r="AM331" s="147">
        <f t="shared" si="86"/>
        <v>20335000</v>
      </c>
      <c r="AN331" s="147"/>
    </row>
    <row r="332" spans="17:44">
      <c r="Q332" s="97" t="s">
        <v>4903</v>
      </c>
      <c r="R332" s="93">
        <v>200000</v>
      </c>
      <c r="T332" s="19" t="s">
        <v>5531</v>
      </c>
      <c r="U332" s="19">
        <v>6522</v>
      </c>
      <c r="V332" s="115">
        <v>1938.4694340000001</v>
      </c>
      <c r="W332" s="115">
        <f t="shared" si="76"/>
        <v>12642697.648548001</v>
      </c>
      <c r="X332" s="276" t="s">
        <v>5140</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17:44">
      <c r="Q333" s="97" t="s">
        <v>4908</v>
      </c>
      <c r="R333" s="93">
        <v>345000</v>
      </c>
      <c r="T333" s="19" t="s">
        <v>5532</v>
      </c>
      <c r="U333" s="19">
        <v>6197</v>
      </c>
      <c r="V333" s="115">
        <v>1984.3985499999999</v>
      </c>
      <c r="W333" s="115">
        <f t="shared" si="76"/>
        <v>12297317.81435</v>
      </c>
      <c r="X333" s="276" t="s">
        <v>5140</v>
      </c>
      <c r="AH333" s="20">
        <v>67</v>
      </c>
      <c r="AI333" s="20" t="s">
        <v>4934</v>
      </c>
      <c r="AJ333" s="115">
        <v>6800000</v>
      </c>
      <c r="AK333" s="20">
        <v>1</v>
      </c>
      <c r="AL333" s="20">
        <f t="shared" si="87"/>
        <v>574</v>
      </c>
      <c r="AM333" s="20">
        <f t="shared" si="88"/>
        <v>3903200000</v>
      </c>
      <c r="AN333" s="20"/>
    </row>
    <row r="334" spans="17:44">
      <c r="Q334" s="97" t="s">
        <v>4913</v>
      </c>
      <c r="R334" s="93">
        <v>900000</v>
      </c>
      <c r="T334" s="19" t="s">
        <v>5533</v>
      </c>
      <c r="U334" s="19">
        <v>4646</v>
      </c>
      <c r="V334" s="115">
        <v>1928.464023</v>
      </c>
      <c r="W334" s="115">
        <f t="shared" si="76"/>
        <v>8959643.8508579992</v>
      </c>
      <c r="X334" s="276" t="s">
        <v>5140</v>
      </c>
      <c r="Y334" t="s">
        <v>25</v>
      </c>
      <c r="AH334" s="20">
        <v>68</v>
      </c>
      <c r="AI334" s="20" t="s">
        <v>4937</v>
      </c>
      <c r="AJ334" s="115">
        <v>500000</v>
      </c>
      <c r="AK334" s="20">
        <v>1</v>
      </c>
      <c r="AL334" s="20">
        <f t="shared" si="87"/>
        <v>573</v>
      </c>
      <c r="AM334" s="20">
        <f t="shared" si="88"/>
        <v>286500000</v>
      </c>
      <c r="AN334" s="20"/>
    </row>
    <row r="335" spans="17:44">
      <c r="Q335" s="97" t="s">
        <v>4916</v>
      </c>
      <c r="R335" s="93">
        <v>372517</v>
      </c>
      <c r="T335" s="19" t="s">
        <v>5534</v>
      </c>
      <c r="U335" s="19">
        <v>7668</v>
      </c>
      <c r="V335" s="115">
        <v>1976.2774959999999</v>
      </c>
      <c r="W335" s="115">
        <f t="shared" si="76"/>
        <v>15154095.839328</v>
      </c>
      <c r="X335" s="276" t="s">
        <v>5140</v>
      </c>
      <c r="Y335" t="s">
        <v>25</v>
      </c>
      <c r="AH335" s="20">
        <v>69</v>
      </c>
      <c r="AI335" s="20" t="s">
        <v>4943</v>
      </c>
      <c r="AJ335" s="115">
        <v>850000</v>
      </c>
      <c r="AK335" s="20">
        <v>5</v>
      </c>
      <c r="AL335" s="20">
        <f t="shared" si="87"/>
        <v>572</v>
      </c>
      <c r="AM335" s="20">
        <f t="shared" si="88"/>
        <v>486200000</v>
      </c>
      <c r="AN335" s="20"/>
    </row>
    <row r="336" spans="17:44" ht="30">
      <c r="Q336" s="97" t="s">
        <v>4924</v>
      </c>
      <c r="R336" s="93">
        <v>6489257</v>
      </c>
      <c r="T336" s="19" t="s">
        <v>5545</v>
      </c>
      <c r="U336" s="19">
        <v>-43325</v>
      </c>
      <c r="V336" s="115">
        <v>2146.5548840000001</v>
      </c>
      <c r="W336" s="115">
        <f t="shared" si="76"/>
        <v>-92999490.349300012</v>
      </c>
      <c r="X336" s="276" t="s">
        <v>5546</v>
      </c>
      <c r="AH336" s="20">
        <v>70</v>
      </c>
      <c r="AI336" s="20" t="s">
        <v>4952</v>
      </c>
      <c r="AJ336" s="115">
        <v>1130250</v>
      </c>
      <c r="AK336" s="20">
        <v>0</v>
      </c>
      <c r="AL336" s="20">
        <f t="shared" si="87"/>
        <v>567</v>
      </c>
      <c r="AM336" s="20">
        <f t="shared" si="88"/>
        <v>640851750</v>
      </c>
      <c r="AN336" s="20"/>
      <c r="AR336" t="s">
        <v>25</v>
      </c>
    </row>
    <row r="337" spans="17:46">
      <c r="Q337" s="97" t="s">
        <v>4960</v>
      </c>
      <c r="R337" s="93">
        <v>618000</v>
      </c>
      <c r="T337" s="187" t="s">
        <v>5545</v>
      </c>
      <c r="U337" s="187">
        <v>-589</v>
      </c>
      <c r="V337" s="186">
        <v>2146.5548840000001</v>
      </c>
      <c r="W337" s="186">
        <f t="shared" si="76"/>
        <v>-1264320.8266760001</v>
      </c>
      <c r="X337" s="275" t="s">
        <v>5551</v>
      </c>
      <c r="AH337" s="252">
        <v>71</v>
      </c>
      <c r="AI337" s="252" t="s">
        <v>4952</v>
      </c>
      <c r="AJ337" s="243">
        <v>30000</v>
      </c>
      <c r="AK337" s="252">
        <v>5</v>
      </c>
      <c r="AL337" s="252">
        <f t="shared" si="87"/>
        <v>567</v>
      </c>
      <c r="AM337" s="252">
        <f t="shared" si="88"/>
        <v>17010000</v>
      </c>
      <c r="AN337" s="252"/>
      <c r="AS337" t="s">
        <v>25</v>
      </c>
    </row>
    <row r="338" spans="17:46">
      <c r="Q338" s="97" t="s">
        <v>4971</v>
      </c>
      <c r="R338" s="93">
        <v>20105000</v>
      </c>
      <c r="T338" s="19" t="s">
        <v>5555</v>
      </c>
      <c r="U338" s="19">
        <v>20888</v>
      </c>
      <c r="V338" s="115">
        <v>2428.4521530000002</v>
      </c>
      <c r="W338" s="115">
        <f t="shared" si="76"/>
        <v>50725508.571864001</v>
      </c>
      <c r="X338" s="276" t="s">
        <v>5140</v>
      </c>
      <c r="Y338" t="s">
        <v>25</v>
      </c>
      <c r="AH338" s="20">
        <v>72</v>
      </c>
      <c r="AI338" s="20" t="s">
        <v>4960</v>
      </c>
      <c r="AJ338" s="115">
        <v>206000</v>
      </c>
      <c r="AK338" s="20">
        <v>0</v>
      </c>
      <c r="AL338" s="20">
        <f t="shared" si="87"/>
        <v>562</v>
      </c>
      <c r="AM338" s="20">
        <f t="shared" si="88"/>
        <v>115772000</v>
      </c>
      <c r="AN338" s="20"/>
      <c r="AR338" t="s">
        <v>25</v>
      </c>
      <c r="AT338" s="94" t="s">
        <v>25</v>
      </c>
    </row>
    <row r="339" spans="17:46">
      <c r="Q339" s="97" t="s">
        <v>4975</v>
      </c>
      <c r="R339" s="93">
        <v>-21079990</v>
      </c>
      <c r="T339" s="19" t="s">
        <v>5557</v>
      </c>
      <c r="U339" s="19">
        <v>21663</v>
      </c>
      <c r="V339" s="115">
        <v>2308.0067819999999</v>
      </c>
      <c r="W339" s="115">
        <f t="shared" si="76"/>
        <v>49998350.918466002</v>
      </c>
      <c r="X339" s="276" t="s">
        <v>5560</v>
      </c>
      <c r="AH339" s="147">
        <v>73</v>
      </c>
      <c r="AI339" s="147" t="s">
        <v>4960</v>
      </c>
      <c r="AJ339" s="186">
        <v>206000</v>
      </c>
      <c r="AK339" s="147">
        <v>2</v>
      </c>
      <c r="AL339" s="147">
        <f t="shared" si="87"/>
        <v>562</v>
      </c>
      <c r="AM339" s="147">
        <f t="shared" si="88"/>
        <v>115772000</v>
      </c>
      <c r="AN339" s="147"/>
      <c r="AS339" t="s">
        <v>25</v>
      </c>
    </row>
    <row r="340" spans="17:46">
      <c r="Q340" s="97" t="s">
        <v>4976</v>
      </c>
      <c r="R340" s="93">
        <v>-5949277</v>
      </c>
      <c r="T340" s="19" t="s">
        <v>5557</v>
      </c>
      <c r="U340" s="19">
        <v>977</v>
      </c>
      <c r="V340" s="115">
        <v>2335.6821479999999</v>
      </c>
      <c r="W340" s="115">
        <f t="shared" si="76"/>
        <v>2281961.458596</v>
      </c>
      <c r="X340" s="276" t="s">
        <v>5140</v>
      </c>
      <c r="AH340" s="20">
        <v>74</v>
      </c>
      <c r="AI340" s="20" t="s">
        <v>4967</v>
      </c>
      <c r="AJ340" s="115">
        <v>50000</v>
      </c>
      <c r="AK340" s="20">
        <v>0</v>
      </c>
      <c r="AL340" s="20">
        <f t="shared" si="87"/>
        <v>560</v>
      </c>
      <c r="AM340" s="20">
        <f t="shared" si="88"/>
        <v>28000000</v>
      </c>
      <c r="AN340" s="20"/>
    </row>
    <row r="341" spans="17:46">
      <c r="Q341" s="97" t="s">
        <v>4982</v>
      </c>
      <c r="R341" s="93">
        <v>-15370656</v>
      </c>
      <c r="T341" s="19" t="s">
        <v>5564</v>
      </c>
      <c r="U341" s="19">
        <v>4155</v>
      </c>
      <c r="V341" s="115">
        <v>2647</v>
      </c>
      <c r="W341" s="115">
        <f t="shared" si="76"/>
        <v>10998285</v>
      </c>
      <c r="X341" s="276" t="s">
        <v>5140</v>
      </c>
      <c r="AH341" s="252">
        <v>75</v>
      </c>
      <c r="AI341" s="252" t="s">
        <v>4967</v>
      </c>
      <c r="AJ341" s="243">
        <v>50000</v>
      </c>
      <c r="AK341" s="252">
        <v>2</v>
      </c>
      <c r="AL341" s="252">
        <f t="shared" si="87"/>
        <v>560</v>
      </c>
      <c r="AM341" s="252">
        <f t="shared" si="88"/>
        <v>28000000</v>
      </c>
      <c r="AN341" s="252"/>
    </row>
    <row r="342" spans="17:46">
      <c r="Q342" s="97" t="s">
        <v>4988</v>
      </c>
      <c r="R342" s="93">
        <v>4960000</v>
      </c>
      <c r="T342" s="19" t="s">
        <v>5565</v>
      </c>
      <c r="U342" s="19">
        <v>351</v>
      </c>
      <c r="V342" s="115">
        <v>2800.6238229999999</v>
      </c>
      <c r="W342" s="115">
        <f t="shared" si="76"/>
        <v>983018.96187300002</v>
      </c>
      <c r="X342" s="276" t="s">
        <v>5140</v>
      </c>
      <c r="AH342" s="20">
        <v>76</v>
      </c>
      <c r="AI342" s="20" t="s">
        <v>4971</v>
      </c>
      <c r="AJ342" s="115">
        <v>20000000</v>
      </c>
      <c r="AK342" s="20">
        <v>7</v>
      </c>
      <c r="AL342" s="20">
        <f t="shared" si="87"/>
        <v>558</v>
      </c>
      <c r="AM342" s="20">
        <f t="shared" si="88"/>
        <v>11160000000</v>
      </c>
      <c r="AN342" s="20" t="s">
        <v>4972</v>
      </c>
    </row>
    <row r="343" spans="17:46">
      <c r="Q343" s="97" t="s">
        <v>4988</v>
      </c>
      <c r="R343" s="93">
        <v>10000000</v>
      </c>
      <c r="S343" s="112"/>
      <c r="T343" s="19" t="s">
        <v>5567</v>
      </c>
      <c r="U343" s="19">
        <v>5877</v>
      </c>
      <c r="V343" s="115">
        <v>2901.0160000000001</v>
      </c>
      <c r="W343" s="115">
        <f t="shared" si="76"/>
        <v>17049271.032000002</v>
      </c>
      <c r="X343" s="276" t="s">
        <v>5140</v>
      </c>
      <c r="AH343" s="20">
        <v>77</v>
      </c>
      <c r="AI343" s="20" t="s">
        <v>4982</v>
      </c>
      <c r="AJ343" s="115">
        <v>50000</v>
      </c>
      <c r="AK343" s="20">
        <v>0</v>
      </c>
      <c r="AL343" s="20">
        <f t="shared" si="87"/>
        <v>551</v>
      </c>
      <c r="AM343" s="20">
        <f t="shared" si="88"/>
        <v>27550000</v>
      </c>
      <c r="AN343" s="20"/>
    </row>
    <row r="344" spans="17:46">
      <c r="Q344" s="97" t="s">
        <v>4995</v>
      </c>
      <c r="R344" s="93">
        <v>-40570100</v>
      </c>
      <c r="T344" s="19" t="s">
        <v>5570</v>
      </c>
      <c r="U344" s="19">
        <v>2374</v>
      </c>
      <c r="V344" s="115">
        <v>2877</v>
      </c>
      <c r="W344" s="115">
        <f t="shared" ref="W344:W387" si="89">U344*V344</f>
        <v>6829998</v>
      </c>
      <c r="X344" s="276" t="s">
        <v>5140</v>
      </c>
      <c r="Y344" t="s">
        <v>25</v>
      </c>
      <c r="Z344" t="s">
        <v>25</v>
      </c>
      <c r="AH344" s="147">
        <v>78</v>
      </c>
      <c r="AI344" s="147" t="s">
        <v>4982</v>
      </c>
      <c r="AJ344" s="186">
        <v>50000</v>
      </c>
      <c r="AK344" s="147">
        <v>7</v>
      </c>
      <c r="AL344" s="147">
        <f t="shared" si="87"/>
        <v>551</v>
      </c>
      <c r="AM344" s="147">
        <f t="shared" si="88"/>
        <v>27550000</v>
      </c>
      <c r="AN344" s="147"/>
    </row>
    <row r="345" spans="17:46">
      <c r="Q345" s="97" t="s">
        <v>5004</v>
      </c>
      <c r="R345" s="93">
        <v>1000000</v>
      </c>
      <c r="T345" s="19" t="s">
        <v>4213</v>
      </c>
      <c r="U345" s="19">
        <v>2532</v>
      </c>
      <c r="V345" s="115">
        <v>2757.7444</v>
      </c>
      <c r="W345" s="115">
        <f t="shared" si="89"/>
        <v>6982608.8207999999</v>
      </c>
      <c r="X345" s="276" t="s">
        <v>5140</v>
      </c>
      <c r="AH345" s="20">
        <v>79</v>
      </c>
      <c r="AI345" s="20" t="s">
        <v>4988</v>
      </c>
      <c r="AJ345" s="115">
        <v>2480000</v>
      </c>
      <c r="AK345" s="20">
        <v>0</v>
      </c>
      <c r="AL345" s="20">
        <f t="shared" si="87"/>
        <v>544</v>
      </c>
      <c r="AM345" s="20">
        <f t="shared" si="88"/>
        <v>1349120000</v>
      </c>
      <c r="AN345" s="20"/>
    </row>
    <row r="346" spans="17:46">
      <c r="Q346" s="97" t="s">
        <v>5005</v>
      </c>
      <c r="R346" s="93">
        <v>400000</v>
      </c>
      <c r="T346" s="19" t="s">
        <v>4213</v>
      </c>
      <c r="U346" s="19">
        <v>4987</v>
      </c>
      <c r="V346" s="115">
        <v>2757.7444</v>
      </c>
      <c r="W346" s="115">
        <f t="shared" si="89"/>
        <v>13752871.322800001</v>
      </c>
      <c r="X346" s="276" t="s">
        <v>5586</v>
      </c>
      <c r="Y346" t="s">
        <v>25</v>
      </c>
      <c r="AH346" s="147">
        <v>80</v>
      </c>
      <c r="AI346" s="147" t="s">
        <v>4988</v>
      </c>
      <c r="AJ346" s="186">
        <v>2480000</v>
      </c>
      <c r="AK346" s="147">
        <v>12</v>
      </c>
      <c r="AL346" s="147">
        <f t="shared" si="87"/>
        <v>544</v>
      </c>
      <c r="AM346" s="147">
        <f t="shared" si="88"/>
        <v>1349120000</v>
      </c>
      <c r="AN346" s="147"/>
    </row>
    <row r="347" spans="17:46">
      <c r="Q347" s="97" t="s">
        <v>5012</v>
      </c>
      <c r="R347" s="93">
        <v>120000</v>
      </c>
      <c r="T347" s="19" t="s">
        <v>4213</v>
      </c>
      <c r="U347" s="19">
        <v>997</v>
      </c>
      <c r="V347" s="115">
        <v>2757.7444</v>
      </c>
      <c r="W347" s="115">
        <f t="shared" si="89"/>
        <v>2749471.1668000002</v>
      </c>
      <c r="X347" s="276" t="s">
        <v>5587</v>
      </c>
      <c r="Y347" t="s">
        <v>25</v>
      </c>
      <c r="Z347" t="s">
        <v>25</v>
      </c>
      <c r="AH347" s="20">
        <v>81</v>
      </c>
      <c r="AI347" s="20" t="s">
        <v>4995</v>
      </c>
      <c r="AJ347" s="115">
        <v>-24159500</v>
      </c>
      <c r="AK347" s="20">
        <v>4</v>
      </c>
      <c r="AL347" s="20">
        <f t="shared" si="87"/>
        <v>532</v>
      </c>
      <c r="AM347" s="20">
        <f t="shared" si="88"/>
        <v>-12852854000</v>
      </c>
      <c r="AN347" s="20" t="s">
        <v>5003</v>
      </c>
    </row>
    <row r="348" spans="17:46" ht="30">
      <c r="Q348" s="97" t="s">
        <v>5027</v>
      </c>
      <c r="R348" s="93">
        <v>500000</v>
      </c>
      <c r="T348" s="187" t="s">
        <v>5590</v>
      </c>
      <c r="U348" s="187">
        <v>-18</v>
      </c>
      <c r="V348" s="186">
        <v>2675</v>
      </c>
      <c r="W348" s="186">
        <f t="shared" si="89"/>
        <v>-48150</v>
      </c>
      <c r="X348" s="275" t="s">
        <v>5591</v>
      </c>
      <c r="AH348" s="20">
        <v>82</v>
      </c>
      <c r="AI348" s="20" t="s">
        <v>5005</v>
      </c>
      <c r="AJ348" s="115">
        <v>400000</v>
      </c>
      <c r="AK348" s="20">
        <v>3</v>
      </c>
      <c r="AL348" s="20">
        <f t="shared" si="87"/>
        <v>528</v>
      </c>
      <c r="AM348" s="20">
        <f t="shared" si="88"/>
        <v>211200000</v>
      </c>
      <c r="AN348" s="20"/>
    </row>
    <row r="349" spans="17:46">
      <c r="Q349" s="97" t="s">
        <v>5017</v>
      </c>
      <c r="R349" s="93">
        <v>744000</v>
      </c>
      <c r="T349" s="19" t="s">
        <v>5592</v>
      </c>
      <c r="U349" s="19">
        <v>2874</v>
      </c>
      <c r="V349" s="115">
        <v>2613.1284000000001</v>
      </c>
      <c r="W349" s="115">
        <f t="shared" si="89"/>
        <v>7510131.0216000006</v>
      </c>
      <c r="X349" s="276" t="s">
        <v>5140</v>
      </c>
      <c r="AH349" s="147">
        <v>83</v>
      </c>
      <c r="AI349" s="147" t="s">
        <v>5012</v>
      </c>
      <c r="AJ349" s="186">
        <v>40000</v>
      </c>
      <c r="AK349" s="147">
        <v>0</v>
      </c>
      <c r="AL349" s="147">
        <f t="shared" si="87"/>
        <v>525</v>
      </c>
      <c r="AM349" s="147">
        <f t="shared" si="88"/>
        <v>21000000</v>
      </c>
      <c r="AN349" s="147"/>
    </row>
    <row r="350" spans="17:46">
      <c r="Q350" s="97" t="s">
        <v>5043</v>
      </c>
      <c r="R350" s="93">
        <v>65000</v>
      </c>
      <c r="T350" s="19" t="s">
        <v>5598</v>
      </c>
      <c r="U350" s="19">
        <v>2847</v>
      </c>
      <c r="V350" s="115">
        <v>2556.3841000000002</v>
      </c>
      <c r="W350" s="115">
        <f t="shared" si="89"/>
        <v>7278025.5327000003</v>
      </c>
      <c r="X350" s="276" t="s">
        <v>5140</v>
      </c>
      <c r="AH350" s="20">
        <v>84</v>
      </c>
      <c r="AI350" s="20" t="s">
        <v>5012</v>
      </c>
      <c r="AJ350" s="115">
        <v>40000</v>
      </c>
      <c r="AK350" s="20">
        <v>5</v>
      </c>
      <c r="AL350" s="20">
        <f t="shared" si="87"/>
        <v>525</v>
      </c>
      <c r="AM350" s="20">
        <f t="shared" si="88"/>
        <v>21000000</v>
      </c>
      <c r="AN350" s="20"/>
    </row>
    <row r="351" spans="17:46">
      <c r="Q351" s="97" t="s">
        <v>5049</v>
      </c>
      <c r="R351" s="93">
        <v>-14053702</v>
      </c>
      <c r="T351" s="19" t="s">
        <v>5598</v>
      </c>
      <c r="U351" s="19">
        <v>1222</v>
      </c>
      <c r="V351" s="115">
        <v>2556.3841000000002</v>
      </c>
      <c r="W351" s="115">
        <f t="shared" si="89"/>
        <v>3123901.3702000002</v>
      </c>
      <c r="X351" s="276" t="s">
        <v>5599</v>
      </c>
      <c r="AH351" s="20">
        <v>85</v>
      </c>
      <c r="AI351" s="20" t="s">
        <v>5021</v>
      </c>
      <c r="AJ351" s="115">
        <v>200000</v>
      </c>
      <c r="AK351" s="20">
        <v>1</v>
      </c>
      <c r="AL351" s="20">
        <f t="shared" si="87"/>
        <v>520</v>
      </c>
      <c r="AM351" s="20">
        <f t="shared" si="88"/>
        <v>104000000</v>
      </c>
      <c r="AN351" s="20"/>
    </row>
    <row r="352" spans="17:46">
      <c r="Q352" s="97" t="s">
        <v>5018</v>
      </c>
      <c r="R352" s="93">
        <v>3555678</v>
      </c>
      <c r="S352" t="s">
        <v>25</v>
      </c>
      <c r="T352" s="19" t="s">
        <v>5607</v>
      </c>
      <c r="U352" s="19">
        <v>73</v>
      </c>
      <c r="V352" s="115">
        <v>2672.0459999999998</v>
      </c>
      <c r="W352" s="115">
        <f t="shared" si="89"/>
        <v>195059.35799999998</v>
      </c>
      <c r="X352" s="276" t="s">
        <v>5140</v>
      </c>
      <c r="AH352" s="20">
        <v>86</v>
      </c>
      <c r="AI352" s="20" t="s">
        <v>5025</v>
      </c>
      <c r="AJ352" s="115">
        <v>500000</v>
      </c>
      <c r="AK352" s="20">
        <v>2</v>
      </c>
      <c r="AL352" s="20">
        <f t="shared" ref="AL352:AL381" si="90">AK352+AL353</f>
        <v>519</v>
      </c>
      <c r="AM352" s="20">
        <f t="shared" ref="AM352:AM381" si="91">AJ352*AL352</f>
        <v>259500000</v>
      </c>
      <c r="AN352" s="20"/>
    </row>
    <row r="353" spans="17:45" ht="30">
      <c r="Q353" s="97" t="s">
        <v>5085</v>
      </c>
      <c r="R353" s="93">
        <v>3495</v>
      </c>
      <c r="T353" s="187" t="s">
        <v>5612</v>
      </c>
      <c r="U353" s="187">
        <v>-19</v>
      </c>
      <c r="V353" s="186">
        <v>2598.1260000000002</v>
      </c>
      <c r="W353" s="186">
        <f t="shared" si="89"/>
        <v>-49364.394</v>
      </c>
      <c r="X353" s="275" t="s">
        <v>5591</v>
      </c>
      <c r="AH353" s="20">
        <v>87</v>
      </c>
      <c r="AI353" s="20" t="s">
        <v>5027</v>
      </c>
      <c r="AJ353" s="115">
        <v>500000</v>
      </c>
      <c r="AK353" s="20">
        <v>3</v>
      </c>
      <c r="AL353" s="20">
        <f t="shared" si="90"/>
        <v>517</v>
      </c>
      <c r="AM353" s="20">
        <f t="shared" si="91"/>
        <v>258500000</v>
      </c>
      <c r="AN353" s="20"/>
    </row>
    <row r="354" spans="17:45" ht="30">
      <c r="Q354" s="97" t="s">
        <v>5091</v>
      </c>
      <c r="R354" s="93">
        <v>6000000</v>
      </c>
      <c r="T354" s="19" t="s">
        <v>5612</v>
      </c>
      <c r="U354" s="19">
        <v>332</v>
      </c>
      <c r="V354" s="115">
        <v>2598.1260000000002</v>
      </c>
      <c r="W354" s="115">
        <f t="shared" si="89"/>
        <v>862577.83200000005</v>
      </c>
      <c r="X354" s="276" t="s">
        <v>5613</v>
      </c>
      <c r="AH354" s="20">
        <v>88</v>
      </c>
      <c r="AI354" s="20" t="s">
        <v>5017</v>
      </c>
      <c r="AJ354" s="115">
        <v>250000</v>
      </c>
      <c r="AK354" s="20">
        <v>0</v>
      </c>
      <c r="AL354" s="20">
        <f t="shared" si="90"/>
        <v>514</v>
      </c>
      <c r="AM354" s="20">
        <f t="shared" si="91"/>
        <v>128500000</v>
      </c>
      <c r="AN354" s="20"/>
    </row>
    <row r="355" spans="17:45">
      <c r="Q355" s="97" t="s">
        <v>5093</v>
      </c>
      <c r="R355" s="93">
        <v>17220</v>
      </c>
      <c r="T355" s="19" t="s">
        <v>5614</v>
      </c>
      <c r="U355" s="19">
        <v>346</v>
      </c>
      <c r="V355" s="115">
        <v>2659.8510000000001</v>
      </c>
      <c r="W355" s="115">
        <f t="shared" si="89"/>
        <v>920308.446</v>
      </c>
      <c r="X355" s="276" t="s">
        <v>5140</v>
      </c>
      <c r="AH355" s="252">
        <v>89</v>
      </c>
      <c r="AI355" s="252" t="s">
        <v>5017</v>
      </c>
      <c r="AJ355" s="243">
        <v>245000</v>
      </c>
      <c r="AK355" s="252">
        <v>16</v>
      </c>
      <c r="AL355" s="252">
        <f t="shared" si="90"/>
        <v>514</v>
      </c>
      <c r="AM355" s="252">
        <f t="shared" si="91"/>
        <v>125930000</v>
      </c>
      <c r="AN355" s="252"/>
    </row>
    <row r="356" spans="17:45">
      <c r="Q356" s="97" t="s">
        <v>5094</v>
      </c>
      <c r="R356" s="93">
        <v>8249</v>
      </c>
      <c r="T356" s="19" t="s">
        <v>5615</v>
      </c>
      <c r="U356" s="19">
        <v>1722</v>
      </c>
      <c r="V356" s="115">
        <v>2692.1079220000001</v>
      </c>
      <c r="W356" s="115">
        <f t="shared" si="89"/>
        <v>4635809.8416840006</v>
      </c>
      <c r="X356" s="276" t="s">
        <v>5140</v>
      </c>
      <c r="AH356" s="20">
        <v>90</v>
      </c>
      <c r="AI356" s="20" t="s">
        <v>5053</v>
      </c>
      <c r="AJ356" s="115">
        <v>312598</v>
      </c>
      <c r="AK356" s="20">
        <v>0</v>
      </c>
      <c r="AL356" s="20">
        <f t="shared" si="90"/>
        <v>498</v>
      </c>
      <c r="AM356" s="20">
        <f t="shared" si="91"/>
        <v>155673804</v>
      </c>
      <c r="AN356" s="20"/>
    </row>
    <row r="357" spans="17:45" ht="30">
      <c r="Q357" s="97" t="s">
        <v>5096</v>
      </c>
      <c r="R357" s="93">
        <v>6937</v>
      </c>
      <c r="T357" s="187" t="s">
        <v>5617</v>
      </c>
      <c r="U357" s="187">
        <v>-44</v>
      </c>
      <c r="V357" s="186">
        <v>2725.4</v>
      </c>
      <c r="W357" s="186">
        <f t="shared" si="89"/>
        <v>-119917.6</v>
      </c>
      <c r="X357" s="275" t="s">
        <v>5591</v>
      </c>
      <c r="AH357" s="20">
        <v>91</v>
      </c>
      <c r="AI357" s="20" t="s">
        <v>5053</v>
      </c>
      <c r="AJ357" s="115">
        <v>780000</v>
      </c>
      <c r="AK357" s="20">
        <v>0</v>
      </c>
      <c r="AL357" s="20">
        <f t="shared" si="90"/>
        <v>498</v>
      </c>
      <c r="AM357" s="20">
        <f t="shared" si="91"/>
        <v>388440000</v>
      </c>
      <c r="AN357" s="20"/>
    </row>
    <row r="358" spans="17:45" ht="18" customHeight="1">
      <c r="Q358" s="97" t="s">
        <v>5096</v>
      </c>
      <c r="R358" s="93">
        <v>4046552</v>
      </c>
      <c r="T358" s="19" t="s">
        <v>5617</v>
      </c>
      <c r="U358" s="19">
        <v>106</v>
      </c>
      <c r="V358" s="115">
        <v>2725.4</v>
      </c>
      <c r="W358" s="115">
        <f t="shared" si="89"/>
        <v>288892.40000000002</v>
      </c>
      <c r="X358" s="276" t="s">
        <v>452</v>
      </c>
      <c r="AH358" s="193">
        <v>92</v>
      </c>
      <c r="AI358" s="193" t="s">
        <v>5053</v>
      </c>
      <c r="AJ358" s="194">
        <v>-300000</v>
      </c>
      <c r="AK358" s="193">
        <v>1</v>
      </c>
      <c r="AL358" s="193">
        <f t="shared" si="90"/>
        <v>498</v>
      </c>
      <c r="AM358" s="193">
        <f t="shared" si="91"/>
        <v>-149400000</v>
      </c>
      <c r="AN358" s="193"/>
      <c r="AS358" t="s">
        <v>25</v>
      </c>
    </row>
    <row r="359" spans="17:45" ht="21" customHeight="1">
      <c r="Q359" s="97" t="s">
        <v>5099</v>
      </c>
      <c r="R359" s="93">
        <v>-3884943</v>
      </c>
      <c r="T359" s="187" t="s">
        <v>5606</v>
      </c>
      <c r="U359" s="187">
        <v>-55</v>
      </c>
      <c r="V359" s="186">
        <v>2730.81</v>
      </c>
      <c r="W359" s="186">
        <f t="shared" si="89"/>
        <v>-150194.54999999999</v>
      </c>
      <c r="X359" s="275" t="s">
        <v>5591</v>
      </c>
      <c r="AH359" s="20">
        <v>93</v>
      </c>
      <c r="AI359" s="20" t="s">
        <v>5018</v>
      </c>
      <c r="AJ359" s="115">
        <v>300000</v>
      </c>
      <c r="AK359" s="20">
        <v>0</v>
      </c>
      <c r="AL359" s="20">
        <f t="shared" si="90"/>
        <v>497</v>
      </c>
      <c r="AM359" s="20">
        <f t="shared" si="91"/>
        <v>149100000</v>
      </c>
      <c r="AN359" s="20"/>
    </row>
    <row r="360" spans="17:45" ht="30">
      <c r="Q360" s="97" t="s">
        <v>5108</v>
      </c>
      <c r="R360" s="93">
        <v>6022</v>
      </c>
      <c r="T360" s="187" t="s">
        <v>5628</v>
      </c>
      <c r="U360" s="187">
        <v>-66</v>
      </c>
      <c r="V360" s="186">
        <v>3031</v>
      </c>
      <c r="W360" s="186">
        <f t="shared" si="89"/>
        <v>-200046</v>
      </c>
      <c r="X360" s="275" t="s">
        <v>5591</v>
      </c>
      <c r="AH360" s="20">
        <v>94</v>
      </c>
      <c r="AI360" s="20" t="s">
        <v>5018</v>
      </c>
      <c r="AJ360" s="115">
        <v>8660000</v>
      </c>
      <c r="AK360" s="20">
        <v>8</v>
      </c>
      <c r="AL360" s="20">
        <f t="shared" si="90"/>
        <v>497</v>
      </c>
      <c r="AM360" s="20">
        <f t="shared" si="91"/>
        <v>4304020000</v>
      </c>
      <c r="AN360" s="20"/>
    </row>
    <row r="361" spans="17:45" ht="30">
      <c r="Q361" s="97" t="s">
        <v>5135</v>
      </c>
      <c r="R361" s="93">
        <v>400000</v>
      </c>
      <c r="T361" s="187" t="s">
        <v>5633</v>
      </c>
      <c r="U361" s="187">
        <v>-42</v>
      </c>
      <c r="V361" s="186">
        <v>2883</v>
      </c>
      <c r="W361" s="186">
        <f t="shared" si="89"/>
        <v>-121086</v>
      </c>
      <c r="X361" s="275" t="s">
        <v>5591</v>
      </c>
      <c r="AH361" s="147">
        <v>95</v>
      </c>
      <c r="AI361" s="147" t="s">
        <v>5070</v>
      </c>
      <c r="AJ361" s="186">
        <v>200000</v>
      </c>
      <c r="AK361" s="147">
        <v>3</v>
      </c>
      <c r="AL361" s="147">
        <f t="shared" si="90"/>
        <v>489</v>
      </c>
      <c r="AM361" s="147">
        <f t="shared" si="91"/>
        <v>97800000</v>
      </c>
      <c r="AN361" s="147"/>
    </row>
    <row r="362" spans="17:45" ht="18.75" customHeight="1">
      <c r="Q362" s="97" t="s">
        <v>5139</v>
      </c>
      <c r="R362" s="93">
        <v>92847</v>
      </c>
      <c r="T362" s="19" t="s">
        <v>5645</v>
      </c>
      <c r="U362" s="19">
        <v>25901</v>
      </c>
      <c r="V362" s="115">
        <v>2258.9090000000001</v>
      </c>
      <c r="W362" s="115">
        <f t="shared" si="89"/>
        <v>58508002.009000003</v>
      </c>
      <c r="X362" s="276" t="s">
        <v>5140</v>
      </c>
      <c r="AH362" s="147">
        <v>96</v>
      </c>
      <c r="AI362" s="147" t="s">
        <v>5073</v>
      </c>
      <c r="AJ362" s="186">
        <v>20000</v>
      </c>
      <c r="AK362" s="147">
        <v>1</v>
      </c>
      <c r="AL362" s="147">
        <f t="shared" si="90"/>
        <v>486</v>
      </c>
      <c r="AM362" s="147">
        <f t="shared" si="91"/>
        <v>9720000</v>
      </c>
      <c r="AN362" s="147"/>
    </row>
    <row r="363" spans="17:45">
      <c r="Q363" s="97" t="s">
        <v>5139</v>
      </c>
      <c r="R363" s="93">
        <v>-100000</v>
      </c>
      <c r="T363" s="19" t="s">
        <v>5647</v>
      </c>
      <c r="U363" s="19">
        <v>951</v>
      </c>
      <c r="V363" s="115">
        <v>2361.2150799999999</v>
      </c>
      <c r="W363" s="115">
        <f t="shared" si="89"/>
        <v>2245515.5410799999</v>
      </c>
      <c r="X363" s="276" t="s">
        <v>5140</v>
      </c>
      <c r="Z363" t="s">
        <v>25</v>
      </c>
      <c r="AH363" s="20">
        <v>97</v>
      </c>
      <c r="AI363" s="20" t="s">
        <v>5083</v>
      </c>
      <c r="AJ363" s="115">
        <v>14340000</v>
      </c>
      <c r="AK363" s="20">
        <v>7</v>
      </c>
      <c r="AL363" s="20">
        <f t="shared" si="90"/>
        <v>485</v>
      </c>
      <c r="AM363" s="20">
        <f t="shared" si="91"/>
        <v>6954900000</v>
      </c>
      <c r="AN363" s="20"/>
    </row>
    <row r="364" spans="17:45">
      <c r="Q364" s="97" t="s">
        <v>5143</v>
      </c>
      <c r="R364" s="93">
        <v>10000000</v>
      </c>
      <c r="T364" s="19" t="s">
        <v>5649</v>
      </c>
      <c r="U364" s="19">
        <v>7622</v>
      </c>
      <c r="V364" s="115">
        <v>2414.6810999999998</v>
      </c>
      <c r="W364" s="115">
        <f t="shared" si="89"/>
        <v>18404699.3442</v>
      </c>
      <c r="X364" s="276" t="s">
        <v>5140</v>
      </c>
      <c r="AH364" s="20">
        <v>98</v>
      </c>
      <c r="AI364" s="20" t="s">
        <v>5091</v>
      </c>
      <c r="AJ364" s="115">
        <v>10000000</v>
      </c>
      <c r="AK364" s="20">
        <v>6</v>
      </c>
      <c r="AL364" s="20">
        <f t="shared" si="90"/>
        <v>478</v>
      </c>
      <c r="AM364" s="20">
        <f t="shared" si="91"/>
        <v>4780000000</v>
      </c>
      <c r="AN364" s="20" t="s">
        <v>4689</v>
      </c>
    </row>
    <row r="365" spans="17:45">
      <c r="Q365" s="97" t="s">
        <v>5148</v>
      </c>
      <c r="R365" s="93">
        <v>-400000</v>
      </c>
      <c r="T365" s="19" t="s">
        <v>5649</v>
      </c>
      <c r="U365" s="19">
        <v>-282</v>
      </c>
      <c r="V365" s="115">
        <v>2414.6810999999998</v>
      </c>
      <c r="W365" s="115">
        <f t="shared" si="89"/>
        <v>-680940.07019999996</v>
      </c>
      <c r="X365" s="276" t="s">
        <v>5650</v>
      </c>
      <c r="AH365" s="20">
        <v>99</v>
      </c>
      <c r="AI365" s="20" t="s">
        <v>5096</v>
      </c>
      <c r="AJ365" s="115">
        <v>4033949</v>
      </c>
      <c r="AK365" s="20">
        <v>2</v>
      </c>
      <c r="AL365" s="20">
        <f t="shared" si="90"/>
        <v>472</v>
      </c>
      <c r="AM365" s="20">
        <f t="shared" si="91"/>
        <v>1904023928</v>
      </c>
      <c r="AN365" s="20" t="s">
        <v>5098</v>
      </c>
    </row>
    <row r="366" spans="17:45">
      <c r="Q366" s="97" t="s">
        <v>5152</v>
      </c>
      <c r="R366" s="93">
        <v>5649</v>
      </c>
      <c r="T366" s="19" t="s">
        <v>5649</v>
      </c>
      <c r="U366" s="19">
        <v>20162</v>
      </c>
      <c r="V366" s="115">
        <v>2414.6810999999998</v>
      </c>
      <c r="W366" s="115">
        <f t="shared" si="89"/>
        <v>48684800.338199995</v>
      </c>
      <c r="X366" s="276" t="s">
        <v>5651</v>
      </c>
      <c r="AH366" s="147">
        <v>100</v>
      </c>
      <c r="AI366" s="147" t="s">
        <v>5102</v>
      </c>
      <c r="AJ366" s="186">
        <v>11500000</v>
      </c>
      <c r="AK366" s="147">
        <v>2</v>
      </c>
      <c r="AL366" s="147">
        <f t="shared" si="90"/>
        <v>470</v>
      </c>
      <c r="AM366" s="147">
        <f t="shared" si="91"/>
        <v>5405000000</v>
      </c>
      <c r="AN366" s="147" t="s">
        <v>5104</v>
      </c>
    </row>
    <row r="367" spans="17:45">
      <c r="Q367" s="97" t="s">
        <v>5154</v>
      </c>
      <c r="R367" s="93">
        <v>460000</v>
      </c>
      <c r="T367" s="19" t="s">
        <v>5649</v>
      </c>
      <c r="U367" s="19">
        <v>-20162</v>
      </c>
      <c r="V367" s="115">
        <v>2414.6810999999998</v>
      </c>
      <c r="W367" s="115">
        <f t="shared" si="89"/>
        <v>-48684800.338199995</v>
      </c>
      <c r="X367" s="276" t="s">
        <v>744</v>
      </c>
      <c r="Y367" t="s">
        <v>25</v>
      </c>
      <c r="AH367" s="147">
        <v>101</v>
      </c>
      <c r="AI367" s="147" t="s">
        <v>5108</v>
      </c>
      <c r="AJ367" s="186">
        <v>250000</v>
      </c>
      <c r="AK367" s="147">
        <v>3</v>
      </c>
      <c r="AL367" s="147">
        <f t="shared" si="90"/>
        <v>468</v>
      </c>
      <c r="AM367" s="147">
        <f t="shared" si="91"/>
        <v>117000000</v>
      </c>
      <c r="AN367" s="147"/>
    </row>
    <row r="368" spans="17:45">
      <c r="Q368" s="97" t="s">
        <v>5155</v>
      </c>
      <c r="R368" s="93">
        <v>1300000</v>
      </c>
      <c r="S368" t="s">
        <v>25</v>
      </c>
      <c r="T368" s="19" t="s">
        <v>5652</v>
      </c>
      <c r="U368" s="19">
        <v>977</v>
      </c>
      <c r="V368" s="115">
        <v>2317.971947</v>
      </c>
      <c r="W368" s="115">
        <f t="shared" si="89"/>
        <v>2264658.5922190002</v>
      </c>
      <c r="X368" s="276" t="s">
        <v>5140</v>
      </c>
      <c r="AA368" t="s">
        <v>25</v>
      </c>
      <c r="AB368" t="s">
        <v>25</v>
      </c>
      <c r="AH368" s="147">
        <v>102</v>
      </c>
      <c r="AI368" s="147" t="s">
        <v>5133</v>
      </c>
      <c r="AJ368" s="186">
        <v>6000000</v>
      </c>
      <c r="AK368" s="147">
        <v>1</v>
      </c>
      <c r="AL368" s="147">
        <f t="shared" si="90"/>
        <v>465</v>
      </c>
      <c r="AM368" s="147">
        <f t="shared" si="91"/>
        <v>2790000000</v>
      </c>
      <c r="AN368" s="147" t="s">
        <v>5104</v>
      </c>
    </row>
    <row r="369" spans="16:45">
      <c r="Q369" s="97" t="s">
        <v>5155</v>
      </c>
      <c r="R369" s="93">
        <v>7300000</v>
      </c>
      <c r="T369" s="19" t="s">
        <v>5654</v>
      </c>
      <c r="U369" s="19">
        <v>10280</v>
      </c>
      <c r="V369" s="115">
        <v>2225.429357</v>
      </c>
      <c r="W369" s="115">
        <f t="shared" si="89"/>
        <v>22877413.789960001</v>
      </c>
      <c r="X369" s="276" t="s">
        <v>5140</v>
      </c>
      <c r="AH369" s="147">
        <v>103</v>
      </c>
      <c r="AI369" s="147" t="s">
        <v>5135</v>
      </c>
      <c r="AJ369" s="186">
        <v>1500000</v>
      </c>
      <c r="AK369" s="147">
        <v>6</v>
      </c>
      <c r="AL369" s="147">
        <f t="shared" si="90"/>
        <v>464</v>
      </c>
      <c r="AM369" s="147">
        <f t="shared" si="91"/>
        <v>696000000</v>
      </c>
      <c r="AN369" s="147" t="s">
        <v>5104</v>
      </c>
    </row>
    <row r="370" spans="16:45">
      <c r="Q370" s="97" t="s">
        <v>977</v>
      </c>
      <c r="R370" s="93">
        <v>21203</v>
      </c>
      <c r="T370" s="19" t="s">
        <v>5657</v>
      </c>
      <c r="U370" s="19">
        <v>1022</v>
      </c>
      <c r="V370" s="115">
        <v>2311.6824240000001</v>
      </c>
      <c r="W370" s="115">
        <f t="shared" si="89"/>
        <v>2362539.4373280001</v>
      </c>
      <c r="X370" s="276" t="s">
        <v>5140</v>
      </c>
      <c r="AH370" s="20">
        <v>104</v>
      </c>
      <c r="AI370" s="20" t="s">
        <v>960</v>
      </c>
      <c r="AJ370" s="115">
        <v>-3960043</v>
      </c>
      <c r="AK370" s="20">
        <v>2</v>
      </c>
      <c r="AL370" s="20">
        <f t="shared" si="90"/>
        <v>458</v>
      </c>
      <c r="AM370" s="20">
        <f t="shared" si="91"/>
        <v>-1813699694</v>
      </c>
      <c r="AN370" s="20"/>
    </row>
    <row r="371" spans="16:45">
      <c r="Q371" s="97" t="s">
        <v>4257</v>
      </c>
      <c r="R371" s="93">
        <v>34550</v>
      </c>
      <c r="T371" s="19" t="s">
        <v>5658</v>
      </c>
      <c r="U371" s="19">
        <v>6818</v>
      </c>
      <c r="V371" s="115">
        <v>2352.988656</v>
      </c>
      <c r="W371" s="115">
        <f t="shared" si="89"/>
        <v>16042676.656608</v>
      </c>
      <c r="X371" s="276" t="s">
        <v>5140</v>
      </c>
      <c r="Y371" t="s">
        <v>25</v>
      </c>
      <c r="AH371" s="20">
        <v>105</v>
      </c>
      <c r="AI371" s="20" t="s">
        <v>5154</v>
      </c>
      <c r="AJ371" s="115">
        <v>230000</v>
      </c>
      <c r="AK371" s="20">
        <v>0</v>
      </c>
      <c r="AL371" s="20">
        <f t="shared" si="90"/>
        <v>456</v>
      </c>
      <c r="AM371" s="20">
        <f t="shared" si="91"/>
        <v>104880000</v>
      </c>
      <c r="AN371" s="20"/>
    </row>
    <row r="372" spans="16:45">
      <c r="Q372" s="97" t="s">
        <v>5153</v>
      </c>
      <c r="R372" s="93">
        <v>-2134406</v>
      </c>
      <c r="T372" s="19" t="s">
        <v>5659</v>
      </c>
      <c r="U372" s="19">
        <v>8023</v>
      </c>
      <c r="V372" s="115">
        <v>2293.8167079999998</v>
      </c>
      <c r="W372" s="115">
        <f t="shared" si="89"/>
        <v>18403291.448284</v>
      </c>
      <c r="X372" s="276" t="s">
        <v>5140</v>
      </c>
      <c r="AH372" s="147">
        <v>106</v>
      </c>
      <c r="AI372" s="147" t="s">
        <v>5154</v>
      </c>
      <c r="AJ372" s="186">
        <v>230000</v>
      </c>
      <c r="AK372" s="147">
        <v>1</v>
      </c>
      <c r="AL372" s="147">
        <f t="shared" si="90"/>
        <v>456</v>
      </c>
      <c r="AM372" s="147">
        <f t="shared" si="91"/>
        <v>104880000</v>
      </c>
      <c r="AN372" s="147"/>
      <c r="AR372" t="s">
        <v>25</v>
      </c>
    </row>
    <row r="373" spans="16:45">
      <c r="Q373" s="97" t="s">
        <v>5191</v>
      </c>
      <c r="R373" s="93">
        <v>-618906</v>
      </c>
      <c r="T373" s="19" t="s">
        <v>5662</v>
      </c>
      <c r="U373" s="19">
        <v>4666</v>
      </c>
      <c r="V373" s="115">
        <v>2263.4906230000001</v>
      </c>
      <c r="W373" s="115">
        <f t="shared" si="89"/>
        <v>10561447.246918</v>
      </c>
      <c r="X373" s="276" t="s">
        <v>5140</v>
      </c>
      <c r="Y373" t="s">
        <v>25</v>
      </c>
      <c r="AH373" s="147">
        <v>107</v>
      </c>
      <c r="AI373" s="147" t="s">
        <v>5155</v>
      </c>
      <c r="AJ373" s="186">
        <v>500000</v>
      </c>
      <c r="AK373" s="147">
        <v>1</v>
      </c>
      <c r="AL373" s="147">
        <f t="shared" si="90"/>
        <v>455</v>
      </c>
      <c r="AM373" s="147">
        <f t="shared" si="91"/>
        <v>227500000</v>
      </c>
      <c r="AN373" s="147"/>
    </row>
    <row r="374" spans="16:45">
      <c r="Q374" s="97" t="s">
        <v>5194</v>
      </c>
      <c r="R374" s="93">
        <v>-54615</v>
      </c>
      <c r="T374" s="19" t="s">
        <v>5663</v>
      </c>
      <c r="U374" s="19">
        <v>542</v>
      </c>
      <c r="V374" s="115">
        <v>2263.4906230000001</v>
      </c>
      <c r="W374" s="115">
        <f t="shared" si="89"/>
        <v>1226811.9176660001</v>
      </c>
      <c r="X374" s="276" t="s">
        <v>5140</v>
      </c>
      <c r="AH374" s="20">
        <v>108</v>
      </c>
      <c r="AI374" s="20" t="s">
        <v>5158</v>
      </c>
      <c r="AJ374" s="115">
        <v>-880000</v>
      </c>
      <c r="AK374" s="20">
        <v>4</v>
      </c>
      <c r="AL374" s="20">
        <f t="shared" si="90"/>
        <v>454</v>
      </c>
      <c r="AM374" s="20">
        <f t="shared" si="91"/>
        <v>-399520000</v>
      </c>
      <c r="AN374" s="20"/>
      <c r="AS374" t="s">
        <v>25</v>
      </c>
    </row>
    <row r="375" spans="16:45">
      <c r="Q375" s="97" t="s">
        <v>5236</v>
      </c>
      <c r="R375" s="93">
        <v>18000000</v>
      </c>
      <c r="T375" s="19" t="s">
        <v>5664</v>
      </c>
      <c r="U375" s="19">
        <v>16629</v>
      </c>
      <c r="V375" s="115">
        <v>2367.7887540000002</v>
      </c>
      <c r="W375" s="115">
        <f t="shared" si="89"/>
        <v>39373959.190266006</v>
      </c>
      <c r="X375" s="276" t="s">
        <v>5140</v>
      </c>
      <c r="AH375" s="193">
        <v>109</v>
      </c>
      <c r="AI375" s="193" t="s">
        <v>5162</v>
      </c>
      <c r="AJ375" s="194">
        <v>873000</v>
      </c>
      <c r="AK375" s="193">
        <v>0</v>
      </c>
      <c r="AL375" s="193">
        <f t="shared" si="90"/>
        <v>450</v>
      </c>
      <c r="AM375" s="193">
        <f t="shared" si="91"/>
        <v>392850000</v>
      </c>
      <c r="AN375" s="193" t="s">
        <v>5104</v>
      </c>
    </row>
    <row r="376" spans="16:45">
      <c r="Q376" s="97" t="s">
        <v>5283</v>
      </c>
      <c r="R376" s="93">
        <v>20000000</v>
      </c>
      <c r="T376" s="19" t="s">
        <v>5669</v>
      </c>
      <c r="U376" s="19">
        <v>11765</v>
      </c>
      <c r="V376" s="115">
        <v>2354.7375320000001</v>
      </c>
      <c r="W376" s="115">
        <f t="shared" si="89"/>
        <v>27703487.063980002</v>
      </c>
      <c r="X376" s="276" t="s">
        <v>5140</v>
      </c>
      <c r="AH376" s="20">
        <v>110</v>
      </c>
      <c r="AI376" s="20" t="s">
        <v>5162</v>
      </c>
      <c r="AJ376" s="115">
        <v>127000</v>
      </c>
      <c r="AK376" s="20">
        <v>0</v>
      </c>
      <c r="AL376" s="20">
        <f t="shared" si="90"/>
        <v>450</v>
      </c>
      <c r="AM376" s="20">
        <f t="shared" si="91"/>
        <v>57150000</v>
      </c>
      <c r="AN376" s="20" t="s">
        <v>5104</v>
      </c>
    </row>
    <row r="377" spans="16:45">
      <c r="Q377" s="97" t="s">
        <v>5290</v>
      </c>
      <c r="R377" s="93">
        <v>27694196</v>
      </c>
      <c r="T377" s="19" t="s">
        <v>5670</v>
      </c>
      <c r="U377" s="19">
        <v>3672</v>
      </c>
      <c r="V377" s="115">
        <v>2379.873826</v>
      </c>
      <c r="W377" s="115">
        <f t="shared" si="89"/>
        <v>8738896.6890719999</v>
      </c>
      <c r="X377" s="276" t="s">
        <v>5140</v>
      </c>
      <c r="AH377" s="20">
        <v>111</v>
      </c>
      <c r="AI377" s="20" t="s">
        <v>5162</v>
      </c>
      <c r="AJ377" s="115">
        <v>73000</v>
      </c>
      <c r="AK377" s="20">
        <v>1</v>
      </c>
      <c r="AL377" s="20">
        <f t="shared" si="90"/>
        <v>450</v>
      </c>
      <c r="AM377" s="20">
        <f t="shared" si="91"/>
        <v>32850000</v>
      </c>
      <c r="AN377" s="20"/>
      <c r="AR377" t="s">
        <v>25</v>
      </c>
    </row>
    <row r="378" spans="16:45">
      <c r="Q378" s="97" t="s">
        <v>5365</v>
      </c>
      <c r="R378" s="93">
        <v>7211722</v>
      </c>
      <c r="T378" s="19" t="s">
        <v>4186</v>
      </c>
      <c r="U378" s="19">
        <v>140</v>
      </c>
      <c r="V378" s="115">
        <v>2487.154767</v>
      </c>
      <c r="W378" s="115">
        <f t="shared" si="89"/>
        <v>348201.66738</v>
      </c>
      <c r="X378" s="276" t="s">
        <v>5140</v>
      </c>
      <c r="AH378" s="20">
        <v>112</v>
      </c>
      <c r="AI378" s="20" t="s">
        <v>977</v>
      </c>
      <c r="AJ378" s="115">
        <v>4300000</v>
      </c>
      <c r="AK378" s="20">
        <v>1</v>
      </c>
      <c r="AL378" s="20">
        <f t="shared" si="90"/>
        <v>449</v>
      </c>
      <c r="AM378" s="20">
        <f t="shared" si="91"/>
        <v>1930700000</v>
      </c>
      <c r="AN378" s="20"/>
    </row>
    <row r="379" spans="16:45">
      <c r="Q379" s="97" t="s">
        <v>5366</v>
      </c>
      <c r="R379" s="93">
        <v>8481864</v>
      </c>
      <c r="T379" s="19" t="s">
        <v>5672</v>
      </c>
      <c r="U379" s="19">
        <v>1616</v>
      </c>
      <c r="V379" s="115">
        <v>2573.0760479999999</v>
      </c>
      <c r="W379" s="115">
        <f t="shared" si="89"/>
        <v>4158090.8935679998</v>
      </c>
      <c r="X379" s="276" t="s">
        <v>5140</v>
      </c>
      <c r="AH379" s="20">
        <v>113</v>
      </c>
      <c r="AI379" s="20" t="s">
        <v>5031</v>
      </c>
      <c r="AJ379" s="115">
        <v>1600000</v>
      </c>
      <c r="AK379" s="20">
        <v>0</v>
      </c>
      <c r="AL379" s="20">
        <f t="shared" si="90"/>
        <v>448</v>
      </c>
      <c r="AM379" s="20">
        <f t="shared" si="91"/>
        <v>716800000</v>
      </c>
      <c r="AN379" s="20"/>
    </row>
    <row r="380" spans="16:45">
      <c r="Q380" s="97" t="s">
        <v>5374</v>
      </c>
      <c r="R380" s="93">
        <v>1558697</v>
      </c>
      <c r="T380" s="187" t="s">
        <v>5673</v>
      </c>
      <c r="U380" s="187">
        <v>-2272</v>
      </c>
      <c r="V380" s="186">
        <v>2639.970566</v>
      </c>
      <c r="W380" s="186">
        <f t="shared" si="89"/>
        <v>-5998013.1259519998</v>
      </c>
      <c r="X380" s="275" t="s">
        <v>5684</v>
      </c>
      <c r="AH380" s="20">
        <v>114</v>
      </c>
      <c r="AI380" s="20" t="s">
        <v>4257</v>
      </c>
      <c r="AJ380" s="115">
        <v>-10000000</v>
      </c>
      <c r="AK380" s="20">
        <v>1</v>
      </c>
      <c r="AL380" s="20">
        <f t="shared" si="90"/>
        <v>448</v>
      </c>
      <c r="AM380" s="20">
        <f t="shared" si="91"/>
        <v>-4480000000</v>
      </c>
      <c r="AN380" s="20" t="s">
        <v>5169</v>
      </c>
    </row>
    <row r="381" spans="16:45">
      <c r="Q381" s="97" t="s">
        <v>5379</v>
      </c>
      <c r="R381" s="93">
        <v>9042009</v>
      </c>
      <c r="T381" s="19" t="s">
        <v>5673</v>
      </c>
      <c r="U381" s="19">
        <v>2272</v>
      </c>
      <c r="V381" s="115">
        <v>2639.970566</v>
      </c>
      <c r="W381" s="115">
        <f t="shared" si="89"/>
        <v>5998013.1259519998</v>
      </c>
      <c r="X381" s="276" t="s">
        <v>5683</v>
      </c>
      <c r="Z381" t="s">
        <v>25</v>
      </c>
      <c r="AH381" s="20">
        <v>115</v>
      </c>
      <c r="AI381" s="20" t="s">
        <v>5168</v>
      </c>
      <c r="AJ381" s="115">
        <v>571000</v>
      </c>
      <c r="AK381" s="20">
        <v>4</v>
      </c>
      <c r="AL381" s="20">
        <f t="shared" si="90"/>
        <v>447</v>
      </c>
      <c r="AM381" s="20">
        <f t="shared" si="91"/>
        <v>255237000</v>
      </c>
      <c r="AN381" s="20"/>
      <c r="AP381" t="s">
        <v>25</v>
      </c>
    </row>
    <row r="382" spans="16:45" ht="30">
      <c r="Q382" s="97" t="s">
        <v>5380</v>
      </c>
      <c r="R382" s="93">
        <v>94969</v>
      </c>
      <c r="T382" s="19" t="s">
        <v>5673</v>
      </c>
      <c r="U382" s="19">
        <v>4434</v>
      </c>
      <c r="V382" s="115">
        <v>2639.970566</v>
      </c>
      <c r="W382" s="115">
        <f t="shared" si="89"/>
        <v>11705629.489644</v>
      </c>
      <c r="X382" s="276" t="s">
        <v>5685</v>
      </c>
      <c r="AH382" s="20">
        <v>116</v>
      </c>
      <c r="AI382" s="20" t="s">
        <v>5170</v>
      </c>
      <c r="AJ382" s="115">
        <v>200000</v>
      </c>
      <c r="AK382" s="20">
        <v>3</v>
      </c>
      <c r="AL382" s="20">
        <f t="shared" ref="AL382:AL393" si="92">AK382+AL383</f>
        <v>443</v>
      </c>
      <c r="AM382" s="20">
        <f t="shared" ref="AM382:AM393" si="93">AJ382*AL382</f>
        <v>88600000</v>
      </c>
      <c r="AN382" s="20"/>
    </row>
    <row r="383" spans="16:45" ht="30">
      <c r="Q383" s="97" t="s">
        <v>5384</v>
      </c>
      <c r="R383" s="93">
        <v>40000000</v>
      </c>
      <c r="T383" s="187" t="s">
        <v>5673</v>
      </c>
      <c r="U383" s="187">
        <v>-2349</v>
      </c>
      <c r="V383" s="186">
        <v>2639.970566</v>
      </c>
      <c r="W383" s="186">
        <f t="shared" si="89"/>
        <v>-6201290.859534</v>
      </c>
      <c r="X383" s="275" t="s">
        <v>5686</v>
      </c>
      <c r="AA383" t="s">
        <v>25</v>
      </c>
      <c r="AH383" s="147">
        <v>117</v>
      </c>
      <c r="AI383" s="147" t="s">
        <v>5176</v>
      </c>
      <c r="AJ383" s="186">
        <v>50000</v>
      </c>
      <c r="AK383" s="147">
        <v>7</v>
      </c>
      <c r="AL383" s="147">
        <f t="shared" si="92"/>
        <v>440</v>
      </c>
      <c r="AM383" s="147">
        <f t="shared" si="93"/>
        <v>22000000</v>
      </c>
      <c r="AN383" s="147"/>
    </row>
    <row r="384" spans="16:45">
      <c r="P384" t="s">
        <v>25</v>
      </c>
      <c r="Q384" s="97" t="s">
        <v>5384</v>
      </c>
      <c r="R384" s="93">
        <v>2806274</v>
      </c>
      <c r="T384" s="19" t="s">
        <v>5673</v>
      </c>
      <c r="U384" s="19">
        <v>2349</v>
      </c>
      <c r="V384" s="115">
        <v>2639.970566</v>
      </c>
      <c r="W384" s="115">
        <f t="shared" si="89"/>
        <v>6201290.859534</v>
      </c>
      <c r="X384" s="276" t="s">
        <v>5687</v>
      </c>
      <c r="AH384" s="20">
        <v>118</v>
      </c>
      <c r="AI384" s="20" t="s">
        <v>5184</v>
      </c>
      <c r="AJ384" s="115">
        <v>-500000</v>
      </c>
      <c r="AK384" s="20">
        <v>12</v>
      </c>
      <c r="AL384" s="20">
        <f t="shared" si="92"/>
        <v>433</v>
      </c>
      <c r="AM384" s="20">
        <f t="shared" si="93"/>
        <v>-216500000</v>
      </c>
      <c r="AN384" s="20"/>
    </row>
    <row r="385" spans="17:45" ht="30">
      <c r="Q385" s="97" t="s">
        <v>5385</v>
      </c>
      <c r="R385" s="93">
        <v>1331702</v>
      </c>
      <c r="T385" s="19" t="s">
        <v>5673</v>
      </c>
      <c r="U385" s="19">
        <v>-568</v>
      </c>
      <c r="V385" s="115">
        <v>2639.970566</v>
      </c>
      <c r="W385" s="115">
        <f t="shared" si="89"/>
        <v>-1499503.2814879999</v>
      </c>
      <c r="X385" s="276" t="s">
        <v>5688</v>
      </c>
      <c r="AA385" t="s">
        <v>25</v>
      </c>
      <c r="AH385" s="147">
        <v>119</v>
      </c>
      <c r="AI385" s="147" t="s">
        <v>976</v>
      </c>
      <c r="AJ385" s="186">
        <v>-50000</v>
      </c>
      <c r="AK385" s="147">
        <v>0</v>
      </c>
      <c r="AL385" s="147">
        <f t="shared" si="92"/>
        <v>421</v>
      </c>
      <c r="AM385" s="147">
        <f t="shared" si="93"/>
        <v>-21050000</v>
      </c>
      <c r="AN385" s="147"/>
    </row>
    <row r="386" spans="17:45" ht="30">
      <c r="Q386" s="97" t="s">
        <v>5393</v>
      </c>
      <c r="R386" s="93">
        <v>851238</v>
      </c>
      <c r="T386" s="19" t="s">
        <v>5673</v>
      </c>
      <c r="U386" s="19">
        <v>568</v>
      </c>
      <c r="V386" s="115">
        <v>2639.970566</v>
      </c>
      <c r="W386" s="115">
        <f t="shared" si="89"/>
        <v>1499503.2814879999</v>
      </c>
      <c r="X386" s="276" t="s">
        <v>5688</v>
      </c>
      <c r="Z386" t="s">
        <v>25</v>
      </c>
      <c r="AA386" t="s">
        <v>25</v>
      </c>
      <c r="AH386" s="20">
        <v>120</v>
      </c>
      <c r="AI386" s="20" t="s">
        <v>976</v>
      </c>
      <c r="AJ386" s="115">
        <v>-50000</v>
      </c>
      <c r="AK386" s="20">
        <v>28</v>
      </c>
      <c r="AL386" s="20">
        <f t="shared" si="92"/>
        <v>421</v>
      </c>
      <c r="AM386" s="20">
        <f t="shared" si="93"/>
        <v>-21050000</v>
      </c>
      <c r="AN386" s="20"/>
      <c r="AQ386" t="s">
        <v>25</v>
      </c>
    </row>
    <row r="387" spans="17:45">
      <c r="Q387" s="97" t="s">
        <v>5427</v>
      </c>
      <c r="R387" s="93">
        <v>652592</v>
      </c>
      <c r="T387" s="19" t="s">
        <v>5677</v>
      </c>
      <c r="U387" s="19">
        <v>4589</v>
      </c>
      <c r="V387" s="115">
        <v>2639.970566</v>
      </c>
      <c r="W387" s="115">
        <f t="shared" si="89"/>
        <v>12114824.927374</v>
      </c>
      <c r="X387" s="276" t="s">
        <v>5691</v>
      </c>
      <c r="AF387" s="94" t="s">
        <v>25</v>
      </c>
      <c r="AH387" s="20">
        <v>121</v>
      </c>
      <c r="AI387" s="20" t="s">
        <v>5225</v>
      </c>
      <c r="AJ387" s="115">
        <v>-3020625</v>
      </c>
      <c r="AK387" s="20">
        <v>18</v>
      </c>
      <c r="AL387" s="20">
        <f t="shared" si="92"/>
        <v>393</v>
      </c>
      <c r="AM387" s="20">
        <f t="shared" si="93"/>
        <v>-1187105625</v>
      </c>
      <c r="AN387" s="20"/>
    </row>
    <row r="388" spans="17:45">
      <c r="Q388" s="97" t="s">
        <v>5475</v>
      </c>
      <c r="R388" s="93">
        <v>554139</v>
      </c>
      <c r="T388" s="19" t="s">
        <v>5677</v>
      </c>
      <c r="U388" s="19">
        <v>41959</v>
      </c>
      <c r="V388" s="115">
        <v>2639.970566</v>
      </c>
      <c r="W388" s="115">
        <f t="shared" ref="W388:W452" si="94">U388*V388</f>
        <v>110770524.97879399</v>
      </c>
      <c r="X388" s="276" t="s">
        <v>5140</v>
      </c>
      <c r="AH388" s="20">
        <v>122</v>
      </c>
      <c r="AI388" s="20" t="s">
        <v>5236</v>
      </c>
      <c r="AJ388" s="115">
        <v>18000000</v>
      </c>
      <c r="AK388" s="20">
        <v>19</v>
      </c>
      <c r="AL388" s="20">
        <f t="shared" si="92"/>
        <v>375</v>
      </c>
      <c r="AM388" s="20">
        <f t="shared" si="93"/>
        <v>6750000000</v>
      </c>
      <c r="AN388" s="20"/>
      <c r="AS388" t="s">
        <v>25</v>
      </c>
    </row>
    <row r="389" spans="17:45">
      <c r="Q389" s="97" t="s">
        <v>5476</v>
      </c>
      <c r="R389" s="93">
        <v>70373089</v>
      </c>
      <c r="T389" s="19" t="s">
        <v>5694</v>
      </c>
      <c r="U389" s="19">
        <v>2486</v>
      </c>
      <c r="V389" s="115">
        <v>2688.7156100000002</v>
      </c>
      <c r="W389" s="115">
        <f t="shared" si="94"/>
        <v>6684147.0064600008</v>
      </c>
      <c r="X389" s="276" t="s">
        <v>5140</v>
      </c>
      <c r="AH389" s="20">
        <v>123</v>
      </c>
      <c r="AI389" s="20" t="s">
        <v>5264</v>
      </c>
      <c r="AJ389" s="115">
        <v>2000000</v>
      </c>
      <c r="AK389" s="20">
        <v>6</v>
      </c>
      <c r="AL389" s="20">
        <f t="shared" si="92"/>
        <v>356</v>
      </c>
      <c r="AM389" s="20">
        <f t="shared" si="93"/>
        <v>712000000</v>
      </c>
      <c r="AN389" s="20"/>
    </row>
    <row r="390" spans="17:45">
      <c r="Q390" s="97" t="s">
        <v>5477</v>
      </c>
      <c r="R390" s="93">
        <v>1219655</v>
      </c>
      <c r="S390" t="s">
        <v>25</v>
      </c>
      <c r="T390" s="19" t="s">
        <v>5698</v>
      </c>
      <c r="U390" s="19">
        <v>652</v>
      </c>
      <c r="V390" s="115">
        <v>2801.4344030000002</v>
      </c>
      <c r="W390" s="115">
        <f t="shared" si="94"/>
        <v>1826535.2307560001</v>
      </c>
      <c r="X390" s="276" t="s">
        <v>5140</v>
      </c>
      <c r="Y390" t="s">
        <v>25</v>
      </c>
      <c r="AH390" s="147">
        <v>124</v>
      </c>
      <c r="AI390" s="147" t="s">
        <v>5274</v>
      </c>
      <c r="AJ390" s="186">
        <v>40000000</v>
      </c>
      <c r="AK390" s="147">
        <v>6</v>
      </c>
      <c r="AL390" s="147">
        <f t="shared" si="92"/>
        <v>350</v>
      </c>
      <c r="AM390" s="147">
        <f t="shared" si="93"/>
        <v>14000000000</v>
      </c>
      <c r="AN390" s="147"/>
    </row>
    <row r="391" spans="17:45">
      <c r="Q391" s="97" t="s">
        <v>5478</v>
      </c>
      <c r="R391" s="93">
        <v>15350146</v>
      </c>
      <c r="T391" s="187" t="s">
        <v>5698</v>
      </c>
      <c r="U391" s="187">
        <v>-536</v>
      </c>
      <c r="V391" s="186">
        <v>2801.4344030000002</v>
      </c>
      <c r="W391" s="186">
        <f t="shared" si="94"/>
        <v>-1501568.8400080001</v>
      </c>
      <c r="X391" s="275" t="s">
        <v>5712</v>
      </c>
      <c r="AH391" s="20">
        <v>125</v>
      </c>
      <c r="AI391" s="20" t="s">
        <v>5283</v>
      </c>
      <c r="AJ391" s="115">
        <v>200000</v>
      </c>
      <c r="AK391" s="20">
        <v>0</v>
      </c>
      <c r="AL391" s="20">
        <f t="shared" si="92"/>
        <v>344</v>
      </c>
      <c r="AM391" s="20">
        <f t="shared" si="93"/>
        <v>68800000</v>
      </c>
      <c r="AN391" s="20"/>
    </row>
    <row r="392" spans="17:45">
      <c r="Q392" s="97" t="s">
        <v>5479</v>
      </c>
      <c r="R392" s="93">
        <v>121018</v>
      </c>
      <c r="T392" s="19" t="s">
        <v>5702</v>
      </c>
      <c r="U392" s="19">
        <v>1351</v>
      </c>
      <c r="V392" s="115">
        <v>2647.94</v>
      </c>
      <c r="W392" s="115">
        <f t="shared" si="94"/>
        <v>3577366.94</v>
      </c>
      <c r="X392" s="276" t="s">
        <v>5140</v>
      </c>
      <c r="AH392" s="147">
        <v>126</v>
      </c>
      <c r="AI392" s="147" t="s">
        <v>5283</v>
      </c>
      <c r="AJ392" s="186">
        <v>200000</v>
      </c>
      <c r="AK392" s="147">
        <v>1</v>
      </c>
      <c r="AL392" s="147">
        <f t="shared" si="92"/>
        <v>344</v>
      </c>
      <c r="AM392" s="147">
        <f t="shared" si="93"/>
        <v>68800000</v>
      </c>
      <c r="AN392" s="147"/>
    </row>
    <row r="393" spans="17:45">
      <c r="Q393" s="97" t="s">
        <v>5483</v>
      </c>
      <c r="R393" s="93">
        <v>1024993</v>
      </c>
      <c r="T393" s="19" t="s">
        <v>5704</v>
      </c>
      <c r="U393" s="19">
        <v>8402</v>
      </c>
      <c r="V393" s="115">
        <v>2527.8539839999999</v>
      </c>
      <c r="W393" s="115">
        <f t="shared" si="94"/>
        <v>21239029.173567999</v>
      </c>
      <c r="X393" s="276" t="s">
        <v>5140</v>
      </c>
      <c r="AH393" s="20">
        <v>127</v>
      </c>
      <c r="AI393" s="20" t="s">
        <v>5286</v>
      </c>
      <c r="AJ393" s="115">
        <v>50000</v>
      </c>
      <c r="AK393" s="20">
        <v>4</v>
      </c>
      <c r="AL393" s="20">
        <f t="shared" si="92"/>
        <v>343</v>
      </c>
      <c r="AM393" s="20">
        <f t="shared" si="93"/>
        <v>17150000</v>
      </c>
      <c r="AN393" s="20"/>
      <c r="AR393" t="s">
        <v>25</v>
      </c>
    </row>
    <row r="394" spans="17:45">
      <c r="Q394" s="97" t="s">
        <v>5499</v>
      </c>
      <c r="R394" s="93">
        <v>1948077</v>
      </c>
      <c r="T394" s="19" t="s">
        <v>5709</v>
      </c>
      <c r="U394" s="19">
        <v>98141</v>
      </c>
      <c r="V394" s="115">
        <v>2475.593813</v>
      </c>
      <c r="W394" s="115">
        <f t="shared" si="94"/>
        <v>242957252.40163299</v>
      </c>
      <c r="X394" s="276" t="s">
        <v>5140</v>
      </c>
      <c r="Y394" t="s">
        <v>25</v>
      </c>
      <c r="AH394" s="20">
        <v>128</v>
      </c>
      <c r="AI394" s="20" t="s">
        <v>5288</v>
      </c>
      <c r="AJ394" s="115">
        <v>100000</v>
      </c>
      <c r="AK394" s="20">
        <v>9</v>
      </c>
      <c r="AL394" s="20">
        <f t="shared" ref="AL394:AL404" si="95">AK394+AL395</f>
        <v>339</v>
      </c>
      <c r="AM394" s="20">
        <f t="shared" ref="AM394:AM404" si="96">AJ394*AL394</f>
        <v>33900000</v>
      </c>
      <c r="AN394" s="20"/>
    </row>
    <row r="395" spans="17:45">
      <c r="Q395" s="97" t="s">
        <v>5500</v>
      </c>
      <c r="R395" s="93">
        <v>50000120</v>
      </c>
      <c r="T395" s="19" t="s">
        <v>5713</v>
      </c>
      <c r="U395" s="19">
        <v>2910</v>
      </c>
      <c r="V395" s="115">
        <v>2528.240988</v>
      </c>
      <c r="W395" s="115">
        <f t="shared" si="94"/>
        <v>7357181.2750800001</v>
      </c>
      <c r="X395" s="276" t="s">
        <v>5140</v>
      </c>
      <c r="Z395" t="s">
        <v>25</v>
      </c>
      <c r="AH395" s="20">
        <v>129</v>
      </c>
      <c r="AI395" s="20" t="s">
        <v>5304</v>
      </c>
      <c r="AJ395" s="115">
        <v>-550000</v>
      </c>
      <c r="AK395" s="20">
        <v>5</v>
      </c>
      <c r="AL395" s="20">
        <f t="shared" si="95"/>
        <v>330</v>
      </c>
      <c r="AM395" s="20">
        <f t="shared" si="96"/>
        <v>-181500000</v>
      </c>
      <c r="AN395" s="20"/>
    </row>
    <row r="396" spans="17:45">
      <c r="Q396" s="97" t="s">
        <v>5501</v>
      </c>
      <c r="R396" s="93">
        <v>20000055</v>
      </c>
      <c r="T396" s="19" t="s">
        <v>5715</v>
      </c>
      <c r="U396" s="19">
        <v>5652</v>
      </c>
      <c r="V396" s="115">
        <v>2645.3312000000001</v>
      </c>
      <c r="W396" s="115">
        <f t="shared" si="94"/>
        <v>14951411.942400001</v>
      </c>
      <c r="X396" s="276" t="s">
        <v>5140</v>
      </c>
      <c r="Z396" t="s">
        <v>25</v>
      </c>
      <c r="AH396" s="20">
        <v>130</v>
      </c>
      <c r="AI396" s="20" t="s">
        <v>5309</v>
      </c>
      <c r="AJ396" s="115">
        <v>-29686490</v>
      </c>
      <c r="AK396" s="20">
        <v>1</v>
      </c>
      <c r="AL396" s="20">
        <f t="shared" si="95"/>
        <v>325</v>
      </c>
      <c r="AM396" s="20">
        <f t="shared" si="96"/>
        <v>-9648109250</v>
      </c>
      <c r="AN396" s="20"/>
    </row>
    <row r="397" spans="17:45">
      <c r="Q397" s="97" t="s">
        <v>5529</v>
      </c>
      <c r="R397" s="93">
        <v>5745697</v>
      </c>
      <c r="T397" s="19" t="s">
        <v>5719</v>
      </c>
      <c r="U397" s="19">
        <v>18764</v>
      </c>
      <c r="V397" s="115">
        <v>2554.2639829999998</v>
      </c>
      <c r="W397" s="115">
        <f t="shared" si="94"/>
        <v>47928209.377011999</v>
      </c>
      <c r="X397" s="276" t="s">
        <v>5140</v>
      </c>
      <c r="Y397" t="s">
        <v>25</v>
      </c>
      <c r="AH397" s="20">
        <v>131</v>
      </c>
      <c r="AI397" s="20" t="s">
        <v>5317</v>
      </c>
      <c r="AJ397" s="115">
        <v>-9000000</v>
      </c>
      <c r="AK397" s="20">
        <v>8</v>
      </c>
      <c r="AL397" s="20">
        <f t="shared" si="95"/>
        <v>324</v>
      </c>
      <c r="AM397" s="20">
        <f t="shared" si="96"/>
        <v>-2916000000</v>
      </c>
      <c r="AN397" s="20"/>
    </row>
    <row r="398" spans="17:45" ht="21" customHeight="1">
      <c r="Q398" s="97" t="s">
        <v>5530</v>
      </c>
      <c r="R398" s="93">
        <v>908158</v>
      </c>
      <c r="T398" s="19" t="s">
        <v>5721</v>
      </c>
      <c r="U398" s="19">
        <v>930</v>
      </c>
      <c r="V398" s="115">
        <v>2453.3287089999999</v>
      </c>
      <c r="W398" s="115">
        <f t="shared" si="94"/>
        <v>2281595.69937</v>
      </c>
      <c r="X398" s="276" t="s">
        <v>5140</v>
      </c>
      <c r="AH398" s="20">
        <v>132</v>
      </c>
      <c r="AI398" s="20" t="s">
        <v>5361</v>
      </c>
      <c r="AJ398" s="115">
        <v>810000</v>
      </c>
      <c r="AK398" s="20">
        <v>2</v>
      </c>
      <c r="AL398" s="20">
        <f t="shared" si="95"/>
        <v>316</v>
      </c>
      <c r="AM398" s="20">
        <f t="shared" si="96"/>
        <v>255960000</v>
      </c>
      <c r="AN398" s="20"/>
    </row>
    <row r="399" spans="17:45">
      <c r="Q399" s="97" t="s">
        <v>5531</v>
      </c>
      <c r="R399" s="93">
        <v>12642697</v>
      </c>
      <c r="T399" s="19" t="s">
        <v>5723</v>
      </c>
      <c r="U399" s="19">
        <v>1167</v>
      </c>
      <c r="V399" s="115">
        <v>2540.6307069999998</v>
      </c>
      <c r="W399" s="115">
        <f t="shared" si="94"/>
        <v>2964916.035069</v>
      </c>
      <c r="X399" s="276" t="s">
        <v>5140</v>
      </c>
      <c r="AH399" s="20">
        <v>133</v>
      </c>
      <c r="AI399" s="20" t="s">
        <v>5366</v>
      </c>
      <c r="AJ399" s="115">
        <v>-5000000</v>
      </c>
      <c r="AK399" s="20">
        <v>3</v>
      </c>
      <c r="AL399" s="20">
        <f t="shared" si="95"/>
        <v>314</v>
      </c>
      <c r="AM399" s="20">
        <f t="shared" si="96"/>
        <v>-1570000000</v>
      </c>
      <c r="AN399" s="20"/>
    </row>
    <row r="400" spans="17:45" ht="18" customHeight="1">
      <c r="Q400" s="97" t="s">
        <v>5532</v>
      </c>
      <c r="R400" s="93">
        <v>12297317.81435</v>
      </c>
      <c r="T400" s="19" t="s">
        <v>5724</v>
      </c>
      <c r="U400" s="19">
        <v>2538</v>
      </c>
      <c r="V400" s="115">
        <v>2545.5277489999999</v>
      </c>
      <c r="W400" s="115">
        <f t="shared" si="94"/>
        <v>6460549.4269619994</v>
      </c>
      <c r="X400" s="276" t="s">
        <v>5140</v>
      </c>
      <c r="AH400" s="20">
        <v>134</v>
      </c>
      <c r="AI400" s="20" t="s">
        <v>5374</v>
      </c>
      <c r="AJ400" s="115">
        <v>-26000000</v>
      </c>
      <c r="AK400" s="20">
        <v>0</v>
      </c>
      <c r="AL400" s="20">
        <f t="shared" si="95"/>
        <v>311</v>
      </c>
      <c r="AM400" s="20">
        <f t="shared" si="96"/>
        <v>-8086000000</v>
      </c>
      <c r="AN400" s="20"/>
    </row>
    <row r="401" spans="17:45" ht="21" customHeight="1">
      <c r="Q401" s="97" t="s">
        <v>5533</v>
      </c>
      <c r="R401" s="93">
        <v>8959643.8508579992</v>
      </c>
      <c r="T401" s="19" t="s">
        <v>5726</v>
      </c>
      <c r="U401" s="19">
        <v>2106</v>
      </c>
      <c r="V401" s="115">
        <v>2474.9857059999999</v>
      </c>
      <c r="W401" s="115">
        <f t="shared" si="94"/>
        <v>5212319.8968359996</v>
      </c>
      <c r="X401" s="276" t="s">
        <v>5140</v>
      </c>
      <c r="Y401" t="s">
        <v>25</v>
      </c>
      <c r="Z401" t="s">
        <v>25</v>
      </c>
      <c r="AD401" t="s">
        <v>25</v>
      </c>
      <c r="AH401" s="252">
        <v>135</v>
      </c>
      <c r="AI401" s="252" t="s">
        <v>5374</v>
      </c>
      <c r="AJ401" s="243">
        <v>-26000000</v>
      </c>
      <c r="AK401" s="252">
        <v>1</v>
      </c>
      <c r="AL401" s="252">
        <f t="shared" si="95"/>
        <v>311</v>
      </c>
      <c r="AM401" s="252">
        <f t="shared" si="96"/>
        <v>-8086000000</v>
      </c>
      <c r="AN401" s="252"/>
    </row>
    <row r="402" spans="17:45">
      <c r="Q402" s="97" t="s">
        <v>5534</v>
      </c>
      <c r="R402" s="93">
        <v>15154095.839328</v>
      </c>
      <c r="T402" s="19" t="s">
        <v>5729</v>
      </c>
      <c r="U402" s="19">
        <v>1801</v>
      </c>
      <c r="V402" s="115">
        <v>2512.2134809999998</v>
      </c>
      <c r="W402" s="115">
        <f t="shared" si="94"/>
        <v>4524496.4792809999</v>
      </c>
      <c r="X402" s="276" t="s">
        <v>5140</v>
      </c>
      <c r="Y402" t="s">
        <v>25</v>
      </c>
      <c r="AH402" s="20">
        <v>136</v>
      </c>
      <c r="AI402" s="20" t="s">
        <v>5379</v>
      </c>
      <c r="AJ402" s="115">
        <v>-81800000</v>
      </c>
      <c r="AK402" s="20">
        <v>0</v>
      </c>
      <c r="AL402" s="20">
        <f t="shared" si="95"/>
        <v>310</v>
      </c>
      <c r="AM402" s="20">
        <f t="shared" si="96"/>
        <v>-25358000000</v>
      </c>
      <c r="AN402" s="20"/>
      <c r="AS402" t="s">
        <v>25</v>
      </c>
    </row>
    <row r="403" spans="17:45">
      <c r="Q403" s="97" t="s">
        <v>5555</v>
      </c>
      <c r="R403" s="93">
        <v>50725508.571864001</v>
      </c>
      <c r="T403" s="19" t="s">
        <v>5731</v>
      </c>
      <c r="U403" s="19">
        <v>9184</v>
      </c>
      <c r="V403" s="115">
        <v>2489.76919</v>
      </c>
      <c r="W403" s="115">
        <f t="shared" si="94"/>
        <v>22866040.240959998</v>
      </c>
      <c r="X403" s="276" t="s">
        <v>5140</v>
      </c>
      <c r="Z403" t="s">
        <v>25</v>
      </c>
      <c r="AH403" s="252">
        <v>137</v>
      </c>
      <c r="AI403" s="252" t="s">
        <v>5379</v>
      </c>
      <c r="AJ403" s="243">
        <v>-110000000</v>
      </c>
      <c r="AK403" s="252">
        <v>1</v>
      </c>
      <c r="AL403" s="252">
        <f t="shared" si="95"/>
        <v>310</v>
      </c>
      <c r="AM403" s="252">
        <f t="shared" si="96"/>
        <v>-34100000000</v>
      </c>
      <c r="AN403" s="252"/>
    </row>
    <row r="404" spans="17:45">
      <c r="Q404" s="97" t="s">
        <v>5557</v>
      </c>
      <c r="R404" s="93">
        <v>2281961.458596</v>
      </c>
      <c r="T404" s="19" t="s">
        <v>5733</v>
      </c>
      <c r="U404" s="19">
        <v>6259</v>
      </c>
      <c r="V404" s="115">
        <v>2453.954988</v>
      </c>
      <c r="W404" s="115">
        <f t="shared" si="94"/>
        <v>15359304.269892</v>
      </c>
      <c r="X404" s="276" t="s">
        <v>5140</v>
      </c>
      <c r="Y404" t="s">
        <v>25</v>
      </c>
      <c r="AH404" s="20">
        <v>138</v>
      </c>
      <c r="AI404" s="20" t="s">
        <v>5380</v>
      </c>
      <c r="AJ404" s="115">
        <v>-34000000</v>
      </c>
      <c r="AK404" s="20">
        <v>0</v>
      </c>
      <c r="AL404" s="20">
        <f t="shared" si="95"/>
        <v>309</v>
      </c>
      <c r="AM404" s="20">
        <f t="shared" si="96"/>
        <v>-10506000000</v>
      </c>
      <c r="AN404" s="20"/>
    </row>
    <row r="405" spans="17:45">
      <c r="Q405" s="97" t="s">
        <v>5564</v>
      </c>
      <c r="R405" s="93">
        <v>10998285</v>
      </c>
      <c r="T405" s="19" t="s">
        <v>5735</v>
      </c>
      <c r="U405" s="19">
        <v>1223</v>
      </c>
      <c r="V405" s="115">
        <v>2345.4686710000001</v>
      </c>
      <c r="W405" s="115">
        <f t="shared" si="94"/>
        <v>2868508.1846330003</v>
      </c>
      <c r="X405" s="276" t="s">
        <v>5140</v>
      </c>
      <c r="Y405" t="s">
        <v>25</v>
      </c>
      <c r="Z405" t="s">
        <v>25</v>
      </c>
      <c r="AH405" s="147">
        <v>139</v>
      </c>
      <c r="AI405" s="147" t="s">
        <v>5380</v>
      </c>
      <c r="AJ405" s="186">
        <v>-23900000</v>
      </c>
      <c r="AK405" s="147">
        <v>5</v>
      </c>
      <c r="AL405" s="147">
        <f t="shared" ref="AL405:AL410" si="97">AK405+AL406</f>
        <v>309</v>
      </c>
      <c r="AM405" s="147">
        <f t="shared" ref="AM405:AM410" si="98">AJ405*AL405</f>
        <v>-7385100000</v>
      </c>
      <c r="AN405" s="147"/>
    </row>
    <row r="406" spans="17:45">
      <c r="Q406" s="97" t="s">
        <v>5565</v>
      </c>
      <c r="R406" s="93">
        <v>983018.96187300002</v>
      </c>
      <c r="T406" s="19" t="s">
        <v>5736</v>
      </c>
      <c r="U406" s="19">
        <v>7804</v>
      </c>
      <c r="V406" s="115">
        <v>2236.0831640000001</v>
      </c>
      <c r="W406" s="115">
        <f t="shared" si="94"/>
        <v>17450393.011856001</v>
      </c>
      <c r="X406" s="276" t="s">
        <v>5140</v>
      </c>
      <c r="Y406" t="s">
        <v>25</v>
      </c>
      <c r="AH406" s="20">
        <v>140</v>
      </c>
      <c r="AI406" s="20" t="s">
        <v>5393</v>
      </c>
      <c r="AJ406" s="115">
        <v>1000000</v>
      </c>
      <c r="AK406" s="20">
        <v>0</v>
      </c>
      <c r="AL406" s="20">
        <f t="shared" si="97"/>
        <v>304</v>
      </c>
      <c r="AM406" s="20">
        <f t="shared" si="98"/>
        <v>304000000</v>
      </c>
      <c r="AN406" s="20"/>
    </row>
    <row r="407" spans="17:45">
      <c r="Q407" s="97" t="s">
        <v>5567</v>
      </c>
      <c r="R407" s="93">
        <v>17049271.032000002</v>
      </c>
      <c r="T407" s="19" t="s">
        <v>5737</v>
      </c>
      <c r="U407" s="19">
        <v>14589</v>
      </c>
      <c r="V407" s="115">
        <v>2151.5486500000002</v>
      </c>
      <c r="W407" s="115">
        <f t="shared" si="94"/>
        <v>31388943.254850004</v>
      </c>
      <c r="X407" s="276" t="s">
        <v>5140</v>
      </c>
      <c r="Z407" t="s">
        <v>25</v>
      </c>
      <c r="AH407" s="147">
        <v>141</v>
      </c>
      <c r="AI407" s="147" t="s">
        <v>5393</v>
      </c>
      <c r="AJ407" s="186">
        <v>1000000</v>
      </c>
      <c r="AK407" s="147">
        <v>4</v>
      </c>
      <c r="AL407" s="147">
        <f t="shared" si="97"/>
        <v>304</v>
      </c>
      <c r="AM407" s="147">
        <f t="shared" si="98"/>
        <v>304000000</v>
      </c>
      <c r="AN407" s="147"/>
    </row>
    <row r="408" spans="17:45">
      <c r="Q408" s="97" t="s">
        <v>5570</v>
      </c>
      <c r="R408" s="93">
        <v>6829998</v>
      </c>
      <c r="T408" s="19" t="s">
        <v>5738</v>
      </c>
      <c r="U408" s="19">
        <v>14741</v>
      </c>
      <c r="V408" s="115">
        <v>2097.0148140000001</v>
      </c>
      <c r="W408" s="115">
        <f t="shared" si="94"/>
        <v>30912095.373174001</v>
      </c>
      <c r="X408" s="276" t="s">
        <v>5140</v>
      </c>
      <c r="AH408" s="20">
        <v>142</v>
      </c>
      <c r="AI408" s="20" t="s">
        <v>5399</v>
      </c>
      <c r="AJ408" s="115">
        <v>400000</v>
      </c>
      <c r="AK408" s="20">
        <v>0</v>
      </c>
      <c r="AL408" s="20">
        <f t="shared" si="97"/>
        <v>300</v>
      </c>
      <c r="AM408" s="20">
        <f t="shared" si="98"/>
        <v>120000000</v>
      </c>
      <c r="AN408" s="20"/>
    </row>
    <row r="409" spans="17:45">
      <c r="Q409" s="97" t="s">
        <v>4213</v>
      </c>
      <c r="R409" s="93">
        <v>6982608.8207999999</v>
      </c>
      <c r="T409" s="19" t="s">
        <v>5740</v>
      </c>
      <c r="U409" s="19">
        <v>10237</v>
      </c>
      <c r="V409" s="115">
        <v>1914.9092619999999</v>
      </c>
      <c r="W409" s="115">
        <f t="shared" si="94"/>
        <v>19602926.115093999</v>
      </c>
      <c r="X409" s="276" t="s">
        <v>5140</v>
      </c>
      <c r="AH409" s="147">
        <v>143</v>
      </c>
      <c r="AI409" s="147" t="s">
        <v>5399</v>
      </c>
      <c r="AJ409" s="186">
        <v>400000</v>
      </c>
      <c r="AK409" s="147">
        <v>35</v>
      </c>
      <c r="AL409" s="147">
        <f t="shared" si="97"/>
        <v>300</v>
      </c>
      <c r="AM409" s="147">
        <f t="shared" si="98"/>
        <v>120000000</v>
      </c>
      <c r="AN409" s="147"/>
    </row>
    <row r="410" spans="17:45">
      <c r="Q410" s="97" t="s">
        <v>5592</v>
      </c>
      <c r="R410" s="93">
        <v>7510131.0216000006</v>
      </c>
      <c r="T410" s="19" t="s">
        <v>5744</v>
      </c>
      <c r="U410" s="19">
        <v>19211</v>
      </c>
      <c r="V410" s="115">
        <v>1793.6906100000001</v>
      </c>
      <c r="W410" s="115">
        <f t="shared" si="94"/>
        <v>34458590.308710001</v>
      </c>
      <c r="X410" s="276" t="s">
        <v>5140</v>
      </c>
      <c r="Y410" s="112"/>
      <c r="AH410" s="20">
        <v>144</v>
      </c>
      <c r="AI410" s="20" t="s">
        <v>5433</v>
      </c>
      <c r="AJ410" s="115">
        <v>3000000</v>
      </c>
      <c r="AK410" s="20">
        <v>0</v>
      </c>
      <c r="AL410" s="20">
        <f t="shared" si="97"/>
        <v>265</v>
      </c>
      <c r="AM410" s="20">
        <f t="shared" si="98"/>
        <v>795000000</v>
      </c>
      <c r="AN410" s="20"/>
    </row>
    <row r="411" spans="17:45">
      <c r="Q411" s="97" t="s">
        <v>5598</v>
      </c>
      <c r="R411" s="93">
        <v>7278025.5327000003</v>
      </c>
      <c r="S411" t="s">
        <v>25</v>
      </c>
      <c r="T411" s="19" t="s">
        <v>5747</v>
      </c>
      <c r="U411" s="19">
        <v>11599</v>
      </c>
      <c r="V411" s="115">
        <v>1870.667144</v>
      </c>
      <c r="W411" s="115">
        <f t="shared" si="94"/>
        <v>21697868.203256</v>
      </c>
      <c r="X411" s="276" t="s">
        <v>5140</v>
      </c>
      <c r="Y411" t="s">
        <v>25</v>
      </c>
      <c r="Z411" t="s">
        <v>25</v>
      </c>
      <c r="AH411" s="147">
        <v>145</v>
      </c>
      <c r="AI411" s="147" t="s">
        <v>5433</v>
      </c>
      <c r="AJ411" s="186">
        <v>2725000</v>
      </c>
      <c r="AK411" s="147">
        <v>19</v>
      </c>
      <c r="AL411" s="147">
        <f t="shared" ref="AL411:AL414" si="99">AK411+AL412</f>
        <v>265</v>
      </c>
      <c r="AM411" s="147">
        <f t="shared" ref="AM411:AM414" si="100">AJ411*AL411</f>
        <v>722125000</v>
      </c>
      <c r="AN411" s="147"/>
    </row>
    <row r="412" spans="17:45">
      <c r="Q412" s="97" t="s">
        <v>5607</v>
      </c>
      <c r="R412" s="93">
        <v>195059.35799999998</v>
      </c>
      <c r="T412" s="19" t="s">
        <v>5749</v>
      </c>
      <c r="U412" s="19">
        <v>14098</v>
      </c>
      <c r="V412" s="115">
        <v>1797.423695</v>
      </c>
      <c r="W412" s="115">
        <f t="shared" si="94"/>
        <v>25340079.252110001</v>
      </c>
      <c r="X412" s="276" t="s">
        <v>5140</v>
      </c>
      <c r="AH412" s="147">
        <v>146</v>
      </c>
      <c r="AI412" s="147" t="s">
        <v>5327</v>
      </c>
      <c r="AJ412" s="186">
        <v>-8644090</v>
      </c>
      <c r="AK412" s="147">
        <v>0</v>
      </c>
      <c r="AL412" s="147">
        <f t="shared" si="99"/>
        <v>246</v>
      </c>
      <c r="AM412" s="147">
        <f t="shared" si="100"/>
        <v>-2126446140</v>
      </c>
      <c r="AN412" s="147" t="s">
        <v>4750</v>
      </c>
    </row>
    <row r="413" spans="17:45">
      <c r="Q413" s="97" t="s">
        <v>5612</v>
      </c>
      <c r="R413" s="93">
        <v>862577.83200000005</v>
      </c>
      <c r="T413" s="19" t="s">
        <v>5750</v>
      </c>
      <c r="U413" s="19">
        <v>8497</v>
      </c>
      <c r="V413" s="115">
        <v>1739.5531579999999</v>
      </c>
      <c r="W413" s="115">
        <f t="shared" si="94"/>
        <v>14780983.183526</v>
      </c>
      <c r="X413" s="276" t="s">
        <v>5140</v>
      </c>
      <c r="Z413" t="s">
        <v>25</v>
      </c>
      <c r="AH413" s="20">
        <v>147</v>
      </c>
      <c r="AI413" s="20" t="s">
        <v>5327</v>
      </c>
      <c r="AJ413" s="115">
        <v>-65461942</v>
      </c>
      <c r="AK413" s="20">
        <v>1</v>
      </c>
      <c r="AL413" s="20">
        <f t="shared" si="99"/>
        <v>246</v>
      </c>
      <c r="AM413" s="20">
        <f t="shared" si="100"/>
        <v>-16103637732</v>
      </c>
      <c r="AN413" s="20" t="s">
        <v>4750</v>
      </c>
      <c r="AR413" t="s">
        <v>25</v>
      </c>
    </row>
    <row r="414" spans="17:45" ht="30">
      <c r="Q414" s="97" t="s">
        <v>5614</v>
      </c>
      <c r="R414" s="93">
        <v>920308.446</v>
      </c>
      <c r="T414" s="19" t="s">
        <v>5753</v>
      </c>
      <c r="U414" s="19">
        <v>163820</v>
      </c>
      <c r="V414" s="115">
        <v>1588.685326</v>
      </c>
      <c r="W414" s="115">
        <f t="shared" si="94"/>
        <v>260258430.10532001</v>
      </c>
      <c r="X414" s="276" t="s">
        <v>5757</v>
      </c>
      <c r="AH414" s="20">
        <v>148</v>
      </c>
      <c r="AI414" s="20" t="s">
        <v>5456</v>
      </c>
      <c r="AJ414" s="115">
        <v>35000000</v>
      </c>
      <c r="AK414" s="20">
        <v>15</v>
      </c>
      <c r="AL414" s="20">
        <f t="shared" si="99"/>
        <v>245</v>
      </c>
      <c r="AM414" s="20">
        <f t="shared" si="100"/>
        <v>8575000000</v>
      </c>
      <c r="AN414" s="20"/>
    </row>
    <row r="415" spans="17:45">
      <c r="Q415" s="97" t="s">
        <v>5615</v>
      </c>
      <c r="R415" s="93">
        <v>4635809.8416840006</v>
      </c>
      <c r="S415" t="s">
        <v>25</v>
      </c>
      <c r="T415" s="19" t="s">
        <v>5753</v>
      </c>
      <c r="U415" s="19">
        <v>11207</v>
      </c>
      <c r="V415" s="115">
        <v>1588.685326</v>
      </c>
      <c r="W415" s="115">
        <f t="shared" si="94"/>
        <v>17804396.448481999</v>
      </c>
      <c r="X415" s="276" t="s">
        <v>5140</v>
      </c>
      <c r="AH415" s="147">
        <v>149</v>
      </c>
      <c r="AI415" s="147" t="s">
        <v>5479</v>
      </c>
      <c r="AJ415" s="186">
        <v>1400000</v>
      </c>
      <c r="AK415" s="147">
        <v>0</v>
      </c>
      <c r="AL415" s="147">
        <f t="shared" ref="AL415:AL417" si="101">AK415+AL416</f>
        <v>230</v>
      </c>
      <c r="AM415" s="147">
        <f t="shared" ref="AM415:AM418" si="102">AJ415*AL415</f>
        <v>322000000</v>
      </c>
      <c r="AN415" s="147"/>
      <c r="AS415" t="s">
        <v>25</v>
      </c>
    </row>
    <row r="416" spans="17:45">
      <c r="Q416" s="97" t="s">
        <v>5617</v>
      </c>
      <c r="R416" s="93">
        <v>288892.40000000002</v>
      </c>
      <c r="T416" s="19" t="s">
        <v>5758</v>
      </c>
      <c r="U416" s="19">
        <v>7198</v>
      </c>
      <c r="V416" s="115">
        <v>1602.9918909999999</v>
      </c>
      <c r="W416" s="115">
        <f t="shared" si="94"/>
        <v>11538335.631417999</v>
      </c>
      <c r="X416" s="276" t="s">
        <v>5140</v>
      </c>
      <c r="AH416" s="20">
        <v>150</v>
      </c>
      <c r="AI416" s="20" t="s">
        <v>5479</v>
      </c>
      <c r="AJ416" s="115">
        <v>1600000</v>
      </c>
      <c r="AK416" s="20">
        <v>1</v>
      </c>
      <c r="AL416" s="20">
        <f t="shared" si="101"/>
        <v>230</v>
      </c>
      <c r="AM416" s="20">
        <f t="shared" si="102"/>
        <v>368000000</v>
      </c>
      <c r="AN416" s="20"/>
    </row>
    <row r="417" spans="17:45">
      <c r="Q417" s="97" t="s">
        <v>5646</v>
      </c>
      <c r="R417" s="93">
        <v>58508002.009000003</v>
      </c>
      <c r="T417" s="19" t="s">
        <v>5759</v>
      </c>
      <c r="U417" s="19">
        <v>7804</v>
      </c>
      <c r="V417" s="115">
        <v>1592.7111440000001</v>
      </c>
      <c r="W417" s="115">
        <f t="shared" si="94"/>
        <v>12429517.767776001</v>
      </c>
      <c r="X417" s="276" t="s">
        <v>5140</v>
      </c>
      <c r="Y417" t="s">
        <v>25</v>
      </c>
      <c r="AH417" s="147">
        <v>151</v>
      </c>
      <c r="AI417" s="147" t="s">
        <v>5482</v>
      </c>
      <c r="AJ417" s="186">
        <v>600000</v>
      </c>
      <c r="AK417" s="147">
        <v>0</v>
      </c>
      <c r="AL417" s="147">
        <f t="shared" si="101"/>
        <v>229</v>
      </c>
      <c r="AM417" s="147">
        <f t="shared" si="102"/>
        <v>137400000</v>
      </c>
      <c r="AN417" s="147" t="s">
        <v>5484</v>
      </c>
      <c r="AR417" t="s">
        <v>25</v>
      </c>
      <c r="AS417" t="s">
        <v>25</v>
      </c>
    </row>
    <row r="418" spans="17:45">
      <c r="Q418" s="97" t="s">
        <v>5647</v>
      </c>
      <c r="R418" s="93">
        <v>2245515.5410799999</v>
      </c>
      <c r="T418" s="19" t="s">
        <v>5771</v>
      </c>
      <c r="U418" s="19">
        <v>2827</v>
      </c>
      <c r="V418" s="115">
        <v>1779.6874809999999</v>
      </c>
      <c r="W418" s="115">
        <f t="shared" si="94"/>
        <v>5031176.5087869996</v>
      </c>
      <c r="X418" s="276" t="s">
        <v>5140</v>
      </c>
      <c r="AH418" s="20">
        <v>152</v>
      </c>
      <c r="AI418" s="20" t="s">
        <v>5482</v>
      </c>
      <c r="AJ418" s="115">
        <v>600000</v>
      </c>
      <c r="AK418" s="20">
        <v>9</v>
      </c>
      <c r="AL418" s="20">
        <f>AK418+AL419</f>
        <v>229</v>
      </c>
      <c r="AM418" s="20">
        <f t="shared" si="102"/>
        <v>137400000</v>
      </c>
      <c r="AN418" s="20" t="s">
        <v>5484</v>
      </c>
    </row>
    <row r="419" spans="17:45">
      <c r="Q419" s="97" t="s">
        <v>5649</v>
      </c>
      <c r="R419" s="93">
        <v>18404699.3442</v>
      </c>
      <c r="T419" s="19" t="s">
        <v>5774</v>
      </c>
      <c r="U419" s="19">
        <v>3385</v>
      </c>
      <c r="V419" s="115">
        <v>2015.5993820000001</v>
      </c>
      <c r="W419" s="115">
        <f t="shared" si="94"/>
        <v>6822803.9080700008</v>
      </c>
      <c r="X419" s="276" t="s">
        <v>5140</v>
      </c>
      <c r="Y419" t="s">
        <v>25</v>
      </c>
      <c r="AH419" s="20">
        <v>153</v>
      </c>
      <c r="AI419" s="20" t="s">
        <v>5501</v>
      </c>
      <c r="AJ419" s="115">
        <v>20000000</v>
      </c>
      <c r="AK419" s="20">
        <v>23</v>
      </c>
      <c r="AL419" s="20">
        <f t="shared" ref="AL419:AL420" si="103">AK419+AL420</f>
        <v>220</v>
      </c>
      <c r="AM419" s="20">
        <f t="shared" ref="AM419:AM421" si="104">AJ419*AL419</f>
        <v>4400000000</v>
      </c>
      <c r="AN419" s="20" t="s">
        <v>5519</v>
      </c>
    </row>
    <row r="420" spans="17:45">
      <c r="Q420" s="97" t="s">
        <v>5649</v>
      </c>
      <c r="R420" s="93">
        <v>48684800</v>
      </c>
      <c r="T420" s="19" t="s">
        <v>5778</v>
      </c>
      <c r="U420" s="19">
        <v>158</v>
      </c>
      <c r="V420" s="115">
        <v>2094.2388179999998</v>
      </c>
      <c r="W420" s="115">
        <f t="shared" si="94"/>
        <v>330889.73324399994</v>
      </c>
      <c r="X420" s="276" t="s">
        <v>5140</v>
      </c>
      <c r="AH420" s="20">
        <v>154</v>
      </c>
      <c r="AI420" s="20" t="s">
        <v>5545</v>
      </c>
      <c r="AJ420" s="115">
        <v>-46183500</v>
      </c>
      <c r="AK420" s="20">
        <v>0</v>
      </c>
      <c r="AL420" s="20">
        <f t="shared" si="103"/>
        <v>197</v>
      </c>
      <c r="AM420" s="20">
        <f t="shared" si="104"/>
        <v>-9098149500</v>
      </c>
      <c r="AN420" s="20" t="s">
        <v>4879</v>
      </c>
      <c r="AR420" t="s">
        <v>25</v>
      </c>
    </row>
    <row r="421" spans="17:45">
      <c r="Q421" s="97" t="s">
        <v>5652</v>
      </c>
      <c r="R421" s="93">
        <v>2264658.5922190002</v>
      </c>
      <c r="T421" s="19" t="s">
        <v>965</v>
      </c>
      <c r="U421" s="19">
        <v>5033</v>
      </c>
      <c r="V421" s="115">
        <v>2229.4976999999999</v>
      </c>
      <c r="W421" s="115">
        <f t="shared" si="94"/>
        <v>11221061.924099999</v>
      </c>
      <c r="X421" s="276" t="s">
        <v>5784</v>
      </c>
      <c r="Y421" t="s">
        <v>25</v>
      </c>
      <c r="AH421" s="147">
        <v>155</v>
      </c>
      <c r="AI421" s="147" t="s">
        <v>5545</v>
      </c>
      <c r="AJ421" s="186">
        <v>-1812800</v>
      </c>
      <c r="AK421" s="147">
        <v>2</v>
      </c>
      <c r="AL421" s="147">
        <f>AK421+AL422</f>
        <v>197</v>
      </c>
      <c r="AM421" s="147">
        <f t="shared" si="104"/>
        <v>-357121600</v>
      </c>
      <c r="AN421" s="147" t="s">
        <v>4879</v>
      </c>
    </row>
    <row r="422" spans="17:45">
      <c r="Q422" s="97" t="s">
        <v>5654</v>
      </c>
      <c r="R422" s="93">
        <v>22877413.789960001</v>
      </c>
      <c r="T422" s="19" t="s">
        <v>5788</v>
      </c>
      <c r="U422" s="19">
        <v>2870</v>
      </c>
      <c r="V422" s="115">
        <v>2303.2467459999998</v>
      </c>
      <c r="W422" s="115">
        <f t="shared" si="94"/>
        <v>6610318.1610199995</v>
      </c>
      <c r="X422" s="276" t="s">
        <v>5140</v>
      </c>
      <c r="AH422" s="20">
        <v>156</v>
      </c>
      <c r="AI422" s="20" t="s">
        <v>5549</v>
      </c>
      <c r="AJ422" s="115">
        <v>90000</v>
      </c>
      <c r="AK422" s="20">
        <v>0</v>
      </c>
      <c r="AL422" s="20">
        <f t="shared" ref="AL422:AL436" si="105">AK422+AL423</f>
        <v>195</v>
      </c>
      <c r="AM422" s="20">
        <f t="shared" ref="AM422:AM436" si="106">AJ422*AL422</f>
        <v>17550000</v>
      </c>
      <c r="AN422" s="20"/>
    </row>
    <row r="423" spans="17:45">
      <c r="Q423" s="97" t="s">
        <v>5657</v>
      </c>
      <c r="R423" s="93">
        <v>2362539.4373280001</v>
      </c>
      <c r="T423" s="19" t="s">
        <v>5789</v>
      </c>
      <c r="U423" s="19">
        <v>307</v>
      </c>
      <c r="V423" s="115">
        <v>2315.0266360000001</v>
      </c>
      <c r="W423" s="115">
        <f t="shared" si="94"/>
        <v>710713.17725199996</v>
      </c>
      <c r="X423" s="276" t="s">
        <v>5140</v>
      </c>
      <c r="Y423" t="s">
        <v>25</v>
      </c>
      <c r="Z423" t="s">
        <v>25</v>
      </c>
      <c r="AH423" s="147">
        <v>157</v>
      </c>
      <c r="AI423" s="147" t="s">
        <v>5549</v>
      </c>
      <c r="AJ423" s="186">
        <v>60000</v>
      </c>
      <c r="AK423" s="147">
        <v>5</v>
      </c>
      <c r="AL423" s="147">
        <f t="shared" si="105"/>
        <v>195</v>
      </c>
      <c r="AM423" s="147">
        <f t="shared" si="106"/>
        <v>11700000</v>
      </c>
      <c r="AN423" s="147"/>
    </row>
    <row r="424" spans="17:45" ht="30">
      <c r="Q424" s="97" t="s">
        <v>5658</v>
      </c>
      <c r="R424" s="93">
        <v>16042676.656608</v>
      </c>
      <c r="S424" t="s">
        <v>25</v>
      </c>
      <c r="T424" s="19" t="s">
        <v>5791</v>
      </c>
      <c r="U424" s="19">
        <v>35</v>
      </c>
      <c r="V424" s="115">
        <v>2315</v>
      </c>
      <c r="W424" s="115">
        <f t="shared" si="94"/>
        <v>81025</v>
      </c>
      <c r="X424" s="276" t="s">
        <v>5794</v>
      </c>
      <c r="Y424" t="s">
        <v>25</v>
      </c>
      <c r="AH424" s="20">
        <v>158</v>
      </c>
      <c r="AI424" s="20" t="s">
        <v>5557</v>
      </c>
      <c r="AJ424" s="115">
        <v>50000000</v>
      </c>
      <c r="AK424" s="20">
        <v>29</v>
      </c>
      <c r="AL424" s="20">
        <f t="shared" si="105"/>
        <v>190</v>
      </c>
      <c r="AM424" s="20">
        <f t="shared" si="106"/>
        <v>9500000000</v>
      </c>
      <c r="AN424" s="20" t="s">
        <v>5559</v>
      </c>
    </row>
    <row r="425" spans="17:45" ht="30">
      <c r="Q425" s="97" t="s">
        <v>5659</v>
      </c>
      <c r="R425" s="93">
        <v>18403291.448284</v>
      </c>
      <c r="T425" s="187" t="s">
        <v>5791</v>
      </c>
      <c r="U425" s="187">
        <v>-8</v>
      </c>
      <c r="V425" s="186">
        <v>2315</v>
      </c>
      <c r="W425" s="186">
        <f t="shared" si="94"/>
        <v>-18520</v>
      </c>
      <c r="X425" s="275" t="s">
        <v>5686</v>
      </c>
      <c r="Z425" t="s">
        <v>25</v>
      </c>
      <c r="AH425" s="20">
        <v>159</v>
      </c>
      <c r="AI425" s="20" t="s">
        <v>5617</v>
      </c>
      <c r="AJ425" s="115">
        <v>100000</v>
      </c>
      <c r="AK425" s="20">
        <v>1</v>
      </c>
      <c r="AL425" s="20">
        <f t="shared" si="105"/>
        <v>161</v>
      </c>
      <c r="AM425" s="20">
        <f t="shared" si="106"/>
        <v>16100000</v>
      </c>
      <c r="AN425" s="20"/>
    </row>
    <row r="426" spans="17:45">
      <c r="Q426" s="97" t="s">
        <v>5662</v>
      </c>
      <c r="R426" s="93">
        <v>10561447.246918</v>
      </c>
      <c r="T426" s="19" t="s">
        <v>5795</v>
      </c>
      <c r="U426" s="19">
        <v>94</v>
      </c>
      <c r="V426" s="115">
        <v>2337.1980119999998</v>
      </c>
      <c r="W426" s="115">
        <f t="shared" si="94"/>
        <v>219696.613128</v>
      </c>
      <c r="X426" s="276" t="s">
        <v>5140</v>
      </c>
      <c r="Z426" t="s">
        <v>25</v>
      </c>
      <c r="AH426" s="147">
        <v>160</v>
      </c>
      <c r="AI426" s="147" t="s">
        <v>5606</v>
      </c>
      <c r="AJ426" s="186">
        <v>150000</v>
      </c>
      <c r="AK426" s="147">
        <v>0</v>
      </c>
      <c r="AL426" s="147">
        <f t="shared" si="105"/>
        <v>160</v>
      </c>
      <c r="AM426" s="147">
        <f t="shared" si="106"/>
        <v>24000000</v>
      </c>
      <c r="AN426" s="147"/>
    </row>
    <row r="427" spans="17:45">
      <c r="Q427" s="97" t="s">
        <v>5663</v>
      </c>
      <c r="R427" s="93">
        <v>1226811.9176660001</v>
      </c>
      <c r="T427" s="19" t="s">
        <v>5796</v>
      </c>
      <c r="U427" s="19">
        <v>2534</v>
      </c>
      <c r="V427" s="115">
        <v>2381.7965300000001</v>
      </c>
      <c r="W427" s="115">
        <f t="shared" si="94"/>
        <v>6035472.4070199998</v>
      </c>
      <c r="X427" s="276" t="s">
        <v>5140</v>
      </c>
      <c r="Z427" t="s">
        <v>25</v>
      </c>
      <c r="AH427" s="20">
        <v>161</v>
      </c>
      <c r="AI427" s="20" t="s">
        <v>5606</v>
      </c>
      <c r="AJ427" s="115">
        <v>-683050</v>
      </c>
      <c r="AK427" s="20">
        <v>7</v>
      </c>
      <c r="AL427" s="20">
        <f t="shared" si="105"/>
        <v>160</v>
      </c>
      <c r="AM427" s="20">
        <f t="shared" si="106"/>
        <v>-109288000</v>
      </c>
      <c r="AN427" s="20" t="s">
        <v>5620</v>
      </c>
    </row>
    <row r="428" spans="17:45">
      <c r="Q428" s="97" t="s">
        <v>5664</v>
      </c>
      <c r="R428" s="93">
        <v>39373959.190266006</v>
      </c>
      <c r="T428" s="19" t="s">
        <v>5798</v>
      </c>
      <c r="U428" s="19">
        <v>424</v>
      </c>
      <c r="V428" s="115">
        <v>2321.9017680000002</v>
      </c>
      <c r="W428" s="115">
        <f t="shared" si="94"/>
        <v>984486.34963200008</v>
      </c>
      <c r="X428" s="276" t="s">
        <v>5140</v>
      </c>
      <c r="Y428" t="s">
        <v>25</v>
      </c>
      <c r="Z428" t="s">
        <v>25</v>
      </c>
      <c r="AH428" s="147">
        <v>162</v>
      </c>
      <c r="AI428" s="147" t="s">
        <v>5628</v>
      </c>
      <c r="AJ428" s="186">
        <v>200000</v>
      </c>
      <c r="AK428" s="147">
        <v>7</v>
      </c>
      <c r="AL428" s="147">
        <f t="shared" si="105"/>
        <v>153</v>
      </c>
      <c r="AM428" s="147">
        <f t="shared" si="106"/>
        <v>30600000</v>
      </c>
      <c r="AN428" s="147"/>
    </row>
    <row r="429" spans="17:45" ht="30">
      <c r="Q429" s="97" t="s">
        <v>5669</v>
      </c>
      <c r="R429" s="93">
        <v>27703487.063980002</v>
      </c>
      <c r="S429" t="s">
        <v>25</v>
      </c>
      <c r="T429" s="187" t="s">
        <v>5800</v>
      </c>
      <c r="U429" s="187">
        <v>-31</v>
      </c>
      <c r="V429" s="186">
        <v>2221.2123710000001</v>
      </c>
      <c r="W429" s="186">
        <f t="shared" si="94"/>
        <v>-68857.583501000001</v>
      </c>
      <c r="X429" s="275" t="s">
        <v>5686</v>
      </c>
      <c r="AH429" s="147">
        <v>163</v>
      </c>
      <c r="AI429" s="147" t="s">
        <v>5633</v>
      </c>
      <c r="AJ429" s="186">
        <v>150000</v>
      </c>
      <c r="AK429" s="147">
        <v>5</v>
      </c>
      <c r="AL429" s="147">
        <f t="shared" si="105"/>
        <v>146</v>
      </c>
      <c r="AM429" s="147">
        <f t="shared" si="106"/>
        <v>21900000</v>
      </c>
      <c r="AN429" s="147"/>
    </row>
    <row r="430" spans="17:45">
      <c r="Q430" s="97" t="s">
        <v>5670</v>
      </c>
      <c r="R430" s="93">
        <v>8738896.6890719999</v>
      </c>
      <c r="T430" s="187" t="s">
        <v>5800</v>
      </c>
      <c r="U430" s="187">
        <v>-32</v>
      </c>
      <c r="V430" s="186">
        <v>2221.2123710000001</v>
      </c>
      <c r="W430" s="186">
        <f t="shared" si="94"/>
        <v>-71078.795872000002</v>
      </c>
      <c r="X430" s="275" t="s">
        <v>5805</v>
      </c>
      <c r="AH430" s="20">
        <v>164</v>
      </c>
      <c r="AI430" s="20" t="s">
        <v>5637</v>
      </c>
      <c r="AJ430" s="115">
        <v>320000</v>
      </c>
      <c r="AK430" s="20">
        <v>2</v>
      </c>
      <c r="AL430" s="20">
        <f t="shared" si="105"/>
        <v>141</v>
      </c>
      <c r="AM430" s="20">
        <f t="shared" si="106"/>
        <v>45120000</v>
      </c>
      <c r="AN430" s="20"/>
    </row>
    <row r="431" spans="17:45">
      <c r="Q431" s="97" t="s">
        <v>4186</v>
      </c>
      <c r="R431" s="93">
        <v>348201.66738</v>
      </c>
      <c r="T431" s="19" t="s">
        <v>5800</v>
      </c>
      <c r="U431" s="19">
        <v>157</v>
      </c>
      <c r="V431" s="115">
        <v>2221.2123710000001</v>
      </c>
      <c r="W431" s="115">
        <f t="shared" si="94"/>
        <v>348730.34224700002</v>
      </c>
      <c r="X431" s="276" t="s">
        <v>5806</v>
      </c>
      <c r="AA431" t="s">
        <v>25</v>
      </c>
      <c r="AH431" s="20">
        <v>165</v>
      </c>
      <c r="AI431" s="20" t="s">
        <v>5638</v>
      </c>
      <c r="AJ431" s="115">
        <v>200000</v>
      </c>
      <c r="AK431" s="20">
        <v>29</v>
      </c>
      <c r="AL431" s="20">
        <f t="shared" si="105"/>
        <v>139</v>
      </c>
      <c r="AM431" s="20">
        <f t="shared" si="106"/>
        <v>27800000</v>
      </c>
      <c r="AN431" s="20"/>
    </row>
    <row r="432" spans="17:45">
      <c r="Q432" s="97" t="s">
        <v>5672</v>
      </c>
      <c r="R432" s="93">
        <v>4158090.8935679998</v>
      </c>
      <c r="T432" s="19" t="s">
        <v>5800</v>
      </c>
      <c r="U432" s="19">
        <v>965</v>
      </c>
      <c r="V432" s="115">
        <v>2221.2123710000001</v>
      </c>
      <c r="W432" s="115">
        <f t="shared" si="94"/>
        <v>2143469.938015</v>
      </c>
      <c r="X432" s="276" t="s">
        <v>5140</v>
      </c>
      <c r="AH432" s="20">
        <v>166</v>
      </c>
      <c r="AI432" s="20" t="s">
        <v>5673</v>
      </c>
      <c r="AJ432" s="115">
        <v>4200000</v>
      </c>
      <c r="AK432" s="20">
        <v>0</v>
      </c>
      <c r="AL432" s="20">
        <f t="shared" si="105"/>
        <v>110</v>
      </c>
      <c r="AM432" s="20">
        <f t="shared" si="106"/>
        <v>462000000</v>
      </c>
      <c r="AN432" s="20"/>
    </row>
    <row r="433" spans="17:45">
      <c r="Q433" s="97" t="s">
        <v>5677</v>
      </c>
      <c r="R433" s="93">
        <v>110770524.97879399</v>
      </c>
      <c r="T433" s="187" t="s">
        <v>5808</v>
      </c>
      <c r="U433" s="187">
        <v>596</v>
      </c>
      <c r="V433" s="186">
        <v>2180.6765719999999</v>
      </c>
      <c r="W433" s="186">
        <f t="shared" si="94"/>
        <v>1299683.236912</v>
      </c>
      <c r="X433" s="275" t="s">
        <v>1071</v>
      </c>
      <c r="AH433" s="147">
        <v>167</v>
      </c>
      <c r="AI433" s="147" t="s">
        <v>5673</v>
      </c>
      <c r="AJ433" s="186">
        <v>3300000</v>
      </c>
      <c r="AK433" s="147">
        <v>11</v>
      </c>
      <c r="AL433" s="147">
        <f t="shared" si="105"/>
        <v>110</v>
      </c>
      <c r="AM433" s="147">
        <f t="shared" si="106"/>
        <v>363000000</v>
      </c>
      <c r="AN433" s="147"/>
    </row>
    <row r="434" spans="17:45">
      <c r="Q434" s="97" t="s">
        <v>5673</v>
      </c>
      <c r="R434" s="93">
        <v>17900000</v>
      </c>
      <c r="T434" s="19" t="s">
        <v>5816</v>
      </c>
      <c r="U434" s="19">
        <v>1355</v>
      </c>
      <c r="V434" s="115">
        <v>2277.0926330000002</v>
      </c>
      <c r="W434" s="115">
        <f t="shared" si="94"/>
        <v>3085460.5177150001</v>
      </c>
      <c r="X434" s="276" t="s">
        <v>5140</v>
      </c>
      <c r="AH434" s="147">
        <v>168</v>
      </c>
      <c r="AI434" s="147" t="s">
        <v>5704</v>
      </c>
      <c r="AJ434" s="186">
        <v>-1500000</v>
      </c>
      <c r="AK434" s="147">
        <v>42</v>
      </c>
      <c r="AL434" s="147">
        <f t="shared" si="105"/>
        <v>99</v>
      </c>
      <c r="AM434" s="147">
        <f t="shared" si="106"/>
        <v>-148500000</v>
      </c>
      <c r="AN434" s="147"/>
    </row>
    <row r="435" spans="17:45">
      <c r="Q435" s="97" t="s">
        <v>5677</v>
      </c>
      <c r="R435" s="93">
        <v>12114824.927374</v>
      </c>
      <c r="T435" s="19" t="s">
        <v>5818</v>
      </c>
      <c r="U435" s="19">
        <v>3742</v>
      </c>
      <c r="V435" s="115">
        <v>2207.7650429999999</v>
      </c>
      <c r="W435" s="115">
        <f t="shared" si="94"/>
        <v>8261456.790906</v>
      </c>
      <c r="X435" s="276" t="s">
        <v>5140</v>
      </c>
      <c r="Y435" t="s">
        <v>25</v>
      </c>
      <c r="AH435" s="20">
        <v>169</v>
      </c>
      <c r="AI435" s="20" t="s">
        <v>5753</v>
      </c>
      <c r="AJ435" s="115">
        <v>260000</v>
      </c>
      <c r="AK435" s="20">
        <v>22</v>
      </c>
      <c r="AL435" s="20">
        <f t="shared" si="105"/>
        <v>57</v>
      </c>
      <c r="AM435" s="20">
        <f t="shared" si="106"/>
        <v>14820000</v>
      </c>
      <c r="AN435" s="20"/>
      <c r="AQ435" t="s">
        <v>25</v>
      </c>
    </row>
    <row r="436" spans="17:45">
      <c r="Q436" s="97" t="s">
        <v>5694</v>
      </c>
      <c r="R436" s="93">
        <v>6684147.0064600008</v>
      </c>
      <c r="T436" s="19" t="s">
        <v>5820</v>
      </c>
      <c r="U436" s="19">
        <v>3216</v>
      </c>
      <c r="V436" s="115">
        <v>2043.648557</v>
      </c>
      <c r="W436" s="115">
        <f t="shared" si="94"/>
        <v>6572373.7593120001</v>
      </c>
      <c r="X436" s="276" t="s">
        <v>5140</v>
      </c>
      <c r="Y436" t="s">
        <v>25</v>
      </c>
      <c r="AH436" s="20">
        <v>170</v>
      </c>
      <c r="AI436" s="20" t="s">
        <v>5789</v>
      </c>
      <c r="AJ436" s="115">
        <v>20000</v>
      </c>
      <c r="AK436" s="20">
        <v>0</v>
      </c>
      <c r="AL436" s="20">
        <f t="shared" si="105"/>
        <v>35</v>
      </c>
      <c r="AM436" s="20">
        <f t="shared" si="106"/>
        <v>700000</v>
      </c>
      <c r="AN436" s="20"/>
    </row>
    <row r="437" spans="17:45">
      <c r="Q437" s="97" t="s">
        <v>5698</v>
      </c>
      <c r="R437" s="93">
        <v>1826535.2307560001</v>
      </c>
      <c r="T437" s="187" t="s">
        <v>5824</v>
      </c>
      <c r="U437" s="187">
        <v>42393</v>
      </c>
      <c r="V437" s="186">
        <v>2124.4852740000001</v>
      </c>
      <c r="W437" s="186">
        <f t="shared" si="94"/>
        <v>90063304.22068201</v>
      </c>
      <c r="X437" s="275" t="s">
        <v>5825</v>
      </c>
      <c r="AA437" t="s">
        <v>25</v>
      </c>
      <c r="AH437" s="193">
        <v>171</v>
      </c>
      <c r="AI437" s="193" t="s">
        <v>5789</v>
      </c>
      <c r="AJ437" s="194">
        <v>20000</v>
      </c>
      <c r="AK437" s="193">
        <v>7</v>
      </c>
      <c r="AL437" s="147">
        <f t="shared" ref="AL437:AL448" si="107">AK437+AL438</f>
        <v>35</v>
      </c>
      <c r="AM437" s="147">
        <f t="shared" ref="AM437:AM448" si="108">AJ437*AL437</f>
        <v>700000</v>
      </c>
      <c r="AN437" s="193"/>
    </row>
    <row r="438" spans="17:45">
      <c r="Q438" s="97" t="s">
        <v>5702</v>
      </c>
      <c r="R438" s="93">
        <v>3577366.94</v>
      </c>
      <c r="T438" s="19" t="s">
        <v>5826</v>
      </c>
      <c r="U438" s="19">
        <v>1307</v>
      </c>
      <c r="V438" s="115">
        <v>2213.652313</v>
      </c>
      <c r="W438" s="115">
        <f t="shared" si="94"/>
        <v>2893243.5730909999</v>
      </c>
      <c r="X438" s="276" t="s">
        <v>5140</v>
      </c>
      <c r="Y438" t="s">
        <v>25</v>
      </c>
      <c r="AH438" s="147">
        <v>172</v>
      </c>
      <c r="AI438" s="147" t="s">
        <v>5800</v>
      </c>
      <c r="AJ438" s="186">
        <v>70000</v>
      </c>
      <c r="AK438" s="147">
        <v>0</v>
      </c>
      <c r="AL438" s="147">
        <f t="shared" si="107"/>
        <v>28</v>
      </c>
      <c r="AM438" s="147">
        <f t="shared" si="108"/>
        <v>1960000</v>
      </c>
      <c r="AN438" s="147"/>
    </row>
    <row r="439" spans="17:45">
      <c r="Q439" s="97" t="s">
        <v>5704</v>
      </c>
      <c r="R439" s="93">
        <v>21239029.173567999</v>
      </c>
      <c r="T439" s="19" t="s">
        <v>5829</v>
      </c>
      <c r="U439" s="19">
        <v>44079</v>
      </c>
      <c r="V439" s="115">
        <v>2155.0411519999998</v>
      </c>
      <c r="W439" s="115">
        <f t="shared" si="94"/>
        <v>94992058.939007998</v>
      </c>
      <c r="X439" s="276" t="s">
        <v>5140</v>
      </c>
      <c r="Y439" t="s">
        <v>25</v>
      </c>
      <c r="AH439" s="20">
        <v>173</v>
      </c>
      <c r="AI439" s="20" t="s">
        <v>5800</v>
      </c>
      <c r="AJ439" s="115">
        <v>70000</v>
      </c>
      <c r="AK439" s="20">
        <v>1</v>
      </c>
      <c r="AL439" s="20">
        <f t="shared" si="107"/>
        <v>28</v>
      </c>
      <c r="AM439" s="20">
        <f t="shared" si="108"/>
        <v>1960000</v>
      </c>
      <c r="AN439" s="20"/>
      <c r="AS439" t="s">
        <v>25</v>
      </c>
    </row>
    <row r="440" spans="17:45">
      <c r="Q440" s="97" t="s">
        <v>5709</v>
      </c>
      <c r="R440" s="93">
        <v>242957252.40163299</v>
      </c>
      <c r="T440" s="19" t="s">
        <v>5836</v>
      </c>
      <c r="U440" s="19">
        <v>131</v>
      </c>
      <c r="V440" s="115">
        <v>2099.4040150000001</v>
      </c>
      <c r="W440" s="115">
        <f t="shared" si="94"/>
        <v>275021.925965</v>
      </c>
      <c r="X440" s="276" t="s">
        <v>5140</v>
      </c>
      <c r="Y440" t="s">
        <v>25</v>
      </c>
      <c r="AH440" s="20">
        <v>174</v>
      </c>
      <c r="AI440" s="20" t="s">
        <v>5808</v>
      </c>
      <c r="AJ440" s="115">
        <v>330000</v>
      </c>
      <c r="AK440" s="20">
        <v>0</v>
      </c>
      <c r="AL440" s="20">
        <f t="shared" si="107"/>
        <v>27</v>
      </c>
      <c r="AM440" s="20">
        <f t="shared" si="108"/>
        <v>8910000</v>
      </c>
      <c r="AN440" s="20"/>
    </row>
    <row r="441" spans="17:45">
      <c r="Q441" s="97" t="s">
        <v>5714</v>
      </c>
      <c r="R441" s="93">
        <v>7357181.2750800001</v>
      </c>
      <c r="T441" s="19" t="s">
        <v>5844</v>
      </c>
      <c r="U441" s="19">
        <v>162</v>
      </c>
      <c r="V441" s="115">
        <v>2021.3081500000001</v>
      </c>
      <c r="W441" s="115">
        <f t="shared" si="94"/>
        <v>327451.9203</v>
      </c>
      <c r="X441" s="276" t="s">
        <v>5140</v>
      </c>
      <c r="AH441" s="147">
        <v>175</v>
      </c>
      <c r="AI441" s="147" t="s">
        <v>5808</v>
      </c>
      <c r="AJ441" s="186">
        <v>330000</v>
      </c>
      <c r="AK441" s="147">
        <v>10</v>
      </c>
      <c r="AL441" s="147">
        <f t="shared" ref="AL441:AL447" si="109">AK441+AL442</f>
        <v>27</v>
      </c>
      <c r="AM441" s="147">
        <f t="shared" ref="AM441:AM447" si="110">AJ441*AL441</f>
        <v>8910000</v>
      </c>
      <c r="AN441" s="147"/>
    </row>
    <row r="442" spans="17:45">
      <c r="Q442" s="97" t="s">
        <v>5715</v>
      </c>
      <c r="R442" s="93">
        <v>14951411.942400001</v>
      </c>
      <c r="T442" s="19" t="s">
        <v>5862</v>
      </c>
      <c r="U442" s="19">
        <v>131</v>
      </c>
      <c r="V442" s="115">
        <v>1985.358328</v>
      </c>
      <c r="W442" s="115">
        <f t="shared" si="94"/>
        <v>260081.94096800001</v>
      </c>
      <c r="X442" s="276" t="s">
        <v>5140</v>
      </c>
      <c r="Z442" t="s">
        <v>25</v>
      </c>
      <c r="AH442" s="147">
        <v>176</v>
      </c>
      <c r="AI442" s="147" t="s">
        <v>5824</v>
      </c>
      <c r="AJ442" s="186">
        <v>90000000</v>
      </c>
      <c r="AK442" s="147">
        <v>16</v>
      </c>
      <c r="AL442" s="147">
        <f t="shared" si="109"/>
        <v>17</v>
      </c>
      <c r="AM442" s="147">
        <f t="shared" si="110"/>
        <v>1530000000</v>
      </c>
      <c r="AN442" s="147"/>
    </row>
    <row r="443" spans="17:45">
      <c r="Q443" s="97" t="s">
        <v>5719</v>
      </c>
      <c r="R443" s="93">
        <v>47928209.377011999</v>
      </c>
      <c r="T443" s="19" t="s">
        <v>5879</v>
      </c>
      <c r="U443" s="19">
        <v>1449</v>
      </c>
      <c r="V443" s="115">
        <v>2007.787806</v>
      </c>
      <c r="W443" s="115">
        <f t="shared" si="94"/>
        <v>2909284.5308940001</v>
      </c>
      <c r="X443" s="276" t="s">
        <v>5140</v>
      </c>
      <c r="Z443" t="s">
        <v>25</v>
      </c>
      <c r="AH443" s="147">
        <v>177</v>
      </c>
      <c r="AI443" s="147" t="s">
        <v>5859</v>
      </c>
      <c r="AJ443" s="186">
        <v>-15000000</v>
      </c>
      <c r="AK443" s="147">
        <v>1</v>
      </c>
      <c r="AL443" s="147">
        <f t="shared" si="109"/>
        <v>1</v>
      </c>
      <c r="AM443" s="147">
        <f t="shared" si="110"/>
        <v>-15000000</v>
      </c>
      <c r="AN443" s="147" t="s">
        <v>5860</v>
      </c>
    </row>
    <row r="444" spans="17:45">
      <c r="Q444" s="97" t="s">
        <v>5721</v>
      </c>
      <c r="R444" s="93">
        <v>2281595.69937</v>
      </c>
      <c r="T444" s="19" t="s">
        <v>5884</v>
      </c>
      <c r="U444" s="19">
        <v>19028</v>
      </c>
      <c r="V444" s="115">
        <v>1982.5102529999999</v>
      </c>
      <c r="W444" s="115">
        <f t="shared" si="94"/>
        <v>37723205.094084002</v>
      </c>
      <c r="X444" s="276" t="s">
        <v>5140</v>
      </c>
      <c r="Z444" t="s">
        <v>25</v>
      </c>
      <c r="AH444" s="20"/>
      <c r="AI444" s="20"/>
      <c r="AJ444" s="115"/>
      <c r="AK444" s="20"/>
      <c r="AL444" s="20">
        <f t="shared" si="109"/>
        <v>0</v>
      </c>
      <c r="AM444" s="20">
        <f t="shared" si="110"/>
        <v>0</v>
      </c>
      <c r="AN444" s="20"/>
      <c r="AR444" t="s">
        <v>25</v>
      </c>
    </row>
    <row r="445" spans="17:45">
      <c r="Q445" s="97" t="s">
        <v>5723</v>
      </c>
      <c r="R445" s="93">
        <v>2964916.035069</v>
      </c>
      <c r="T445" s="19" t="s">
        <v>5885</v>
      </c>
      <c r="U445" s="19">
        <v>848</v>
      </c>
      <c r="V445" s="115">
        <v>1768.97966</v>
      </c>
      <c r="W445" s="115">
        <f t="shared" si="94"/>
        <v>1500094.75168</v>
      </c>
      <c r="X445" s="276" t="s">
        <v>5140</v>
      </c>
      <c r="Z445" t="s">
        <v>25</v>
      </c>
      <c r="AH445" s="20"/>
      <c r="AI445" s="20"/>
      <c r="AJ445" s="115"/>
      <c r="AK445" s="20"/>
      <c r="AL445" s="20">
        <f t="shared" si="109"/>
        <v>0</v>
      </c>
      <c r="AM445" s="20">
        <f t="shared" si="110"/>
        <v>0</v>
      </c>
      <c r="AN445" s="20"/>
    </row>
    <row r="446" spans="17:45">
      <c r="Q446" s="97" t="s">
        <v>5724</v>
      </c>
      <c r="R446" s="93">
        <v>6460549.4269619994</v>
      </c>
      <c r="T446" s="19" t="s">
        <v>5887</v>
      </c>
      <c r="U446" s="19">
        <v>3824</v>
      </c>
      <c r="V446" s="115">
        <v>1890.8547169999999</v>
      </c>
      <c r="W446" s="115">
        <f t="shared" si="94"/>
        <v>7230628.4378079996</v>
      </c>
      <c r="X446" s="276" t="s">
        <v>5140</v>
      </c>
      <c r="Z446" t="s">
        <v>25</v>
      </c>
      <c r="AH446" s="20"/>
      <c r="AI446" s="20"/>
      <c r="AJ446" s="115"/>
      <c r="AK446" s="20"/>
      <c r="AL446" s="20">
        <f t="shared" si="109"/>
        <v>0</v>
      </c>
      <c r="AM446" s="20">
        <f t="shared" si="110"/>
        <v>0</v>
      </c>
      <c r="AN446" s="20"/>
      <c r="AQ446" t="s">
        <v>25</v>
      </c>
    </row>
    <row r="447" spans="17:45">
      <c r="Q447" s="97" t="s">
        <v>5726</v>
      </c>
      <c r="R447" s="93">
        <v>5212319.8968359996</v>
      </c>
      <c r="T447" s="19"/>
      <c r="U447" s="19"/>
      <c r="V447" s="115"/>
      <c r="W447" s="115"/>
      <c r="X447" s="276"/>
      <c r="Z447" t="s">
        <v>25</v>
      </c>
      <c r="AH447" s="97"/>
      <c r="AI447" s="97"/>
      <c r="AJ447" s="115"/>
      <c r="AK447" s="97"/>
      <c r="AL447" s="20">
        <f t="shared" si="109"/>
        <v>0</v>
      </c>
      <c r="AM447" s="20">
        <f t="shared" si="110"/>
        <v>0</v>
      </c>
      <c r="AN447" s="20"/>
    </row>
    <row r="448" spans="17:45">
      <c r="Q448" s="97" t="s">
        <v>5729</v>
      </c>
      <c r="R448" s="93">
        <v>4524496.4792809999</v>
      </c>
      <c r="T448" s="19"/>
      <c r="U448" s="19"/>
      <c r="V448" s="115"/>
      <c r="W448" s="115"/>
      <c r="X448" s="276"/>
      <c r="AH448" s="97"/>
      <c r="AI448" s="97"/>
      <c r="AJ448" s="115"/>
      <c r="AK448" s="97"/>
      <c r="AL448" s="20">
        <f t="shared" si="107"/>
        <v>0</v>
      </c>
      <c r="AM448" s="20">
        <f t="shared" si="108"/>
        <v>0</v>
      </c>
      <c r="AN448" s="97"/>
    </row>
    <row r="449" spans="17:44">
      <c r="Q449" s="97" t="s">
        <v>5731</v>
      </c>
      <c r="R449" s="93">
        <v>22866040.240959998</v>
      </c>
      <c r="T449" s="19"/>
      <c r="U449" s="19"/>
      <c r="V449" s="115"/>
      <c r="W449" s="115"/>
      <c r="X449" s="276"/>
      <c r="AA449" t="s">
        <v>25</v>
      </c>
      <c r="AH449" s="97"/>
      <c r="AI449" s="97"/>
      <c r="AJ449" s="93">
        <f>SUM(AJ267:AJ448)</f>
        <v>242800355</v>
      </c>
      <c r="AK449" s="97"/>
      <c r="AL449" s="97"/>
      <c r="AM449" s="97">
        <f>SUM(AM267:AM448)</f>
        <v>205833800724</v>
      </c>
      <c r="AN449" s="93">
        <f>AM449*AN253/31</f>
        <v>110665546.9892551</v>
      </c>
      <c r="AR449" t="s">
        <v>25</v>
      </c>
    </row>
    <row r="450" spans="17:44">
      <c r="Q450" s="97" t="s">
        <v>5733</v>
      </c>
      <c r="R450" s="93">
        <v>15359304.269892</v>
      </c>
      <c r="T450" s="19"/>
      <c r="U450" s="19"/>
      <c r="V450" s="115"/>
      <c r="W450" s="115"/>
      <c r="X450" s="276"/>
      <c r="AJ450" t="s">
        <v>4043</v>
      </c>
      <c r="AM450" t="s">
        <v>284</v>
      </c>
      <c r="AN450" t="s">
        <v>928</v>
      </c>
    </row>
    <row r="451" spans="17:44">
      <c r="Q451" s="97" t="s">
        <v>5735</v>
      </c>
      <c r="R451" s="93">
        <v>2868508.1846330003</v>
      </c>
      <c r="T451" s="19"/>
      <c r="U451" s="19"/>
      <c r="V451" s="115"/>
      <c r="W451" s="115"/>
      <c r="X451" s="276"/>
      <c r="Z451" t="s">
        <v>25</v>
      </c>
      <c r="AF451" s="94" t="s">
        <v>25</v>
      </c>
    </row>
    <row r="452" spans="17:44">
      <c r="Q452" s="97" t="s">
        <v>5736</v>
      </c>
      <c r="R452" s="93">
        <v>17450393.011856001</v>
      </c>
      <c r="T452" s="97"/>
      <c r="U452" s="166"/>
      <c r="V452" s="111"/>
      <c r="W452" s="115">
        <f t="shared" si="94"/>
        <v>0</v>
      </c>
      <c r="X452" s="97"/>
      <c r="AA452" t="s">
        <v>25</v>
      </c>
      <c r="AI452" t="s">
        <v>4045</v>
      </c>
      <c r="AJ452" s="112">
        <f>AJ449+AN449</f>
        <v>353465901.98925507</v>
      </c>
    </row>
    <row r="453" spans="17:44">
      <c r="Q453" s="97" t="s">
        <v>5737</v>
      </c>
      <c r="R453" s="93">
        <v>31388943.254850004</v>
      </c>
      <c r="T453" s="166"/>
      <c r="U453" s="166">
        <f>SUM(U152:U452)</f>
        <v>4451133</v>
      </c>
      <c r="V453" s="97"/>
      <c r="W453" s="97"/>
      <c r="X453" s="97"/>
      <c r="AI453" t="s">
        <v>4048</v>
      </c>
      <c r="AJ453" s="112">
        <f>SUM(N20:N28)</f>
        <v>3240308516.9000001</v>
      </c>
    </row>
    <row r="454" spans="17:44">
      <c r="Q454" s="97" t="s">
        <v>5738</v>
      </c>
      <c r="R454" s="93">
        <v>30912095.373174001</v>
      </c>
      <c r="T454" s="97"/>
      <c r="U454" s="97" t="s">
        <v>6</v>
      </c>
      <c r="V454" s="97"/>
      <c r="W454" s="97"/>
      <c r="X454" s="97"/>
      <c r="AI454" t="s">
        <v>4119</v>
      </c>
      <c r="AJ454" s="112">
        <f>AJ453-AJ449</f>
        <v>2997508161.9000001</v>
      </c>
    </row>
    <row r="455" spans="17:44">
      <c r="Q455" s="97" t="s">
        <v>5740</v>
      </c>
      <c r="R455" s="93">
        <v>19602926.115093999</v>
      </c>
      <c r="T455" s="198" t="s">
        <v>4439</v>
      </c>
      <c r="Z455" t="s">
        <v>25</v>
      </c>
      <c r="AI455" t="s">
        <v>928</v>
      </c>
      <c r="AJ455" s="112">
        <f>AN449</f>
        <v>110665546.9892551</v>
      </c>
    </row>
    <row r="456" spans="17:44">
      <c r="Q456" s="97" t="s">
        <v>5744</v>
      </c>
      <c r="R456" s="93">
        <v>34458590.308710001</v>
      </c>
      <c r="T456" s="197">
        <f>R169/U453</f>
        <v>1890.8547166530409</v>
      </c>
      <c r="X456" t="s">
        <v>25</v>
      </c>
      <c r="AI456" t="s">
        <v>4049</v>
      </c>
      <c r="AJ456" s="112">
        <f>AJ454-AJ455</f>
        <v>2886842614.9107451</v>
      </c>
      <c r="AM456" t="s">
        <v>25</v>
      </c>
      <c r="AN456" t="s">
        <v>25</v>
      </c>
    </row>
    <row r="457" spans="17:44">
      <c r="Q457" s="97" t="s">
        <v>5747</v>
      </c>
      <c r="R457" s="93">
        <v>21697868.203256</v>
      </c>
      <c r="W457" s="112"/>
      <c r="X457" t="s">
        <v>25</v>
      </c>
      <c r="AL457" t="s">
        <v>25</v>
      </c>
      <c r="AM457" t="s">
        <v>25</v>
      </c>
      <c r="AN457" t="s">
        <v>25</v>
      </c>
    </row>
    <row r="458" spans="17:44">
      <c r="Q458" s="97" t="s">
        <v>5749</v>
      </c>
      <c r="R458" s="93">
        <v>25340079.252110001</v>
      </c>
      <c r="U458" s="94" t="s">
        <v>267</v>
      </c>
      <c r="V458" t="s">
        <v>4440</v>
      </c>
      <c r="X458" t="s">
        <v>25</v>
      </c>
    </row>
    <row r="459" spans="17:44">
      <c r="Q459" s="97" t="s">
        <v>5750</v>
      </c>
      <c r="R459" s="93">
        <v>14780983.183526</v>
      </c>
      <c r="T459" s="112"/>
      <c r="U459" s="93">
        <v>7239681</v>
      </c>
      <c r="V459">
        <f>U459/T456</f>
        <v>3828.7875510683311</v>
      </c>
      <c r="X459" t="s">
        <v>25</v>
      </c>
    </row>
    <row r="460" spans="17:44">
      <c r="Q460" s="97" t="s">
        <v>5753</v>
      </c>
      <c r="R460" s="93">
        <v>17804396.448481999</v>
      </c>
      <c r="T460" t="s">
        <v>25</v>
      </c>
      <c r="X460" t="s">
        <v>25</v>
      </c>
      <c r="AN460" t="s">
        <v>25</v>
      </c>
    </row>
    <row r="461" spans="17:44">
      <c r="Q461" s="97" t="s">
        <v>5753</v>
      </c>
      <c r="R461" s="93">
        <v>260260000</v>
      </c>
      <c r="T461" t="s">
        <v>25</v>
      </c>
      <c r="U461" s="94" t="s">
        <v>25</v>
      </c>
      <c r="V461" s="22"/>
      <c r="W461" s="219"/>
      <c r="X461" s="286" t="s">
        <v>25</v>
      </c>
      <c r="AN461" t="s">
        <v>25</v>
      </c>
    </row>
    <row r="462" spans="17:44">
      <c r="Q462" s="97" t="s">
        <v>5758</v>
      </c>
      <c r="R462" s="93">
        <v>11538335.631417999</v>
      </c>
      <c r="V462" t="s">
        <v>25</v>
      </c>
      <c r="X462" t="s">
        <v>25</v>
      </c>
    </row>
    <row r="463" spans="17:44">
      <c r="Q463" s="97" t="s">
        <v>5759</v>
      </c>
      <c r="R463" s="93">
        <v>12429517.767776001</v>
      </c>
      <c r="W463" s="112"/>
      <c r="X463" t="s">
        <v>25</v>
      </c>
    </row>
    <row r="464" spans="17:44" ht="60">
      <c r="Q464" s="97" t="s">
        <v>5771</v>
      </c>
      <c r="R464" s="93">
        <v>5031176.5087869996</v>
      </c>
      <c r="T464" s="22" t="s">
        <v>4425</v>
      </c>
      <c r="V464" s="219"/>
    </row>
    <row r="465" spans="17:23" ht="45">
      <c r="Q465" s="97" t="s">
        <v>5774</v>
      </c>
      <c r="R465" s="93">
        <v>6822803.9080700008</v>
      </c>
      <c r="T465" s="22" t="s">
        <v>4426</v>
      </c>
      <c r="W465" s="286"/>
    </row>
    <row r="466" spans="17:23">
      <c r="Q466" s="97" t="s">
        <v>5778</v>
      </c>
      <c r="R466" s="93">
        <v>330889.73324399994</v>
      </c>
    </row>
    <row r="467" spans="17:23">
      <c r="Q467" s="97" t="s">
        <v>5788</v>
      </c>
      <c r="R467" s="93">
        <v>6610318.1610199995</v>
      </c>
    </row>
    <row r="468" spans="17:23">
      <c r="Q468" s="97" t="s">
        <v>5789</v>
      </c>
      <c r="R468" s="93">
        <v>710713.17725199996</v>
      </c>
      <c r="T468" s="97" t="s">
        <v>4441</v>
      </c>
      <c r="U468" s="97" t="s">
        <v>4420</v>
      </c>
      <c r="V468" s="97" t="s">
        <v>938</v>
      </c>
      <c r="W468" s="72" t="s">
        <v>5600</v>
      </c>
    </row>
    <row r="469" spans="17:23">
      <c r="Q469" s="97" t="s">
        <v>5791</v>
      </c>
      <c r="R469" s="93">
        <v>81025</v>
      </c>
      <c r="T469" s="93">
        <f>S234+R293+R490</f>
        <v>2672102837.7348123</v>
      </c>
      <c r="U469" s="93">
        <f>R169</f>
        <v>8416445827.5</v>
      </c>
      <c r="V469" s="93">
        <f>U469-T469</f>
        <v>5744342989.7651882</v>
      </c>
    </row>
    <row r="470" spans="17:23">
      <c r="Q470" s="97" t="s">
        <v>5795</v>
      </c>
      <c r="R470" s="93">
        <v>219696.613128</v>
      </c>
      <c r="W470" s="94" t="s">
        <v>25</v>
      </c>
    </row>
    <row r="471" spans="17:23">
      <c r="Q471" s="97" t="s">
        <v>5796</v>
      </c>
      <c r="R471" s="93">
        <v>6035472.4070199998</v>
      </c>
    </row>
    <row r="472" spans="17:23">
      <c r="Q472" s="97" t="s">
        <v>5798</v>
      </c>
      <c r="R472" s="93">
        <v>984486.34963200008</v>
      </c>
      <c r="T472" s="115"/>
      <c r="V472" s="112">
        <f>(444000000+2500000)*2/3</f>
        <v>297666666.66666669</v>
      </c>
    </row>
    <row r="473" spans="17:23">
      <c r="Q473" s="97" t="s">
        <v>5800</v>
      </c>
      <c r="R473" s="93">
        <v>2143469.938015</v>
      </c>
    </row>
    <row r="474" spans="17:23">
      <c r="Q474" s="97" t="s">
        <v>5816</v>
      </c>
      <c r="R474" s="93">
        <v>3085460.5177150001</v>
      </c>
      <c r="T474" s="112">
        <f>W304+W305+W307+W308+W310+W311</f>
        <v>-301699041.74755996</v>
      </c>
    </row>
    <row r="475" spans="17:23">
      <c r="Q475" s="97" t="s">
        <v>5818</v>
      </c>
      <c r="R475" s="93">
        <v>8261456.790906</v>
      </c>
      <c r="T475" t="s">
        <v>25</v>
      </c>
    </row>
    <row r="476" spans="17:23">
      <c r="Q476" s="97" t="s">
        <v>5820</v>
      </c>
      <c r="R476" s="93">
        <v>6572373.7593120001</v>
      </c>
      <c r="T476" s="112">
        <f>V472+T474</f>
        <v>-4032375.0808932781</v>
      </c>
    </row>
    <row r="477" spans="17:23">
      <c r="Q477" s="97" t="s">
        <v>5826</v>
      </c>
      <c r="R477" s="93">
        <v>2893243.5730909999</v>
      </c>
      <c r="T477" t="s">
        <v>25</v>
      </c>
    </row>
    <row r="478" spans="17:23">
      <c r="Q478" s="97" t="s">
        <v>5829</v>
      </c>
      <c r="R478" s="93">
        <v>94992058.939007998</v>
      </c>
      <c r="T478" t="s">
        <v>25</v>
      </c>
    </row>
    <row r="479" spans="17:23">
      <c r="Q479" s="97" t="s">
        <v>5836</v>
      </c>
      <c r="R479" s="93">
        <v>275021.925965</v>
      </c>
      <c r="W479" s="94" t="s">
        <v>25</v>
      </c>
    </row>
    <row r="480" spans="17:23">
      <c r="Q480" s="97" t="s">
        <v>5844</v>
      </c>
      <c r="R480" s="93">
        <v>327451.9203</v>
      </c>
    </row>
    <row r="481" spans="17:24">
      <c r="Q481" s="97" t="s">
        <v>5862</v>
      </c>
      <c r="R481" s="93">
        <v>260081.94096800001</v>
      </c>
      <c r="T481" t="s">
        <v>25</v>
      </c>
    </row>
    <row r="482" spans="17:24">
      <c r="Q482" s="97" t="s">
        <v>5879</v>
      </c>
      <c r="R482" s="93">
        <v>2909284.5308940001</v>
      </c>
      <c r="T482" t="s">
        <v>25</v>
      </c>
    </row>
    <row r="483" spans="17:24">
      <c r="Q483" s="97" t="s">
        <v>5884</v>
      </c>
      <c r="R483" s="93">
        <v>37723205.094084002</v>
      </c>
      <c r="U483" s="94" t="s">
        <v>25</v>
      </c>
      <c r="W483" s="94" t="s">
        <v>25</v>
      </c>
    </row>
    <row r="484" spans="17:24">
      <c r="Q484" s="97" t="s">
        <v>5885</v>
      </c>
      <c r="R484" s="93">
        <v>1500094.75168</v>
      </c>
      <c r="T484" t="s">
        <v>5828</v>
      </c>
      <c r="X484" t="s">
        <v>25</v>
      </c>
    </row>
    <row r="485" spans="17:24">
      <c r="Q485" s="97" t="s">
        <v>5887</v>
      </c>
      <c r="R485" s="93">
        <v>7230628.4378079996</v>
      </c>
      <c r="T485" t="s">
        <v>25</v>
      </c>
      <c r="V485" t="s">
        <v>25</v>
      </c>
    </row>
    <row r="486" spans="17:24">
      <c r="Q486" s="97"/>
      <c r="R486" s="93"/>
      <c r="T486" t="s">
        <v>25</v>
      </c>
      <c r="U486" s="94" t="s">
        <v>25</v>
      </c>
    </row>
    <row r="487" spans="17:24">
      <c r="Q487" s="97"/>
      <c r="R487" s="93"/>
      <c r="T487" t="s">
        <v>25</v>
      </c>
      <c r="U487" s="94" t="s">
        <v>25</v>
      </c>
      <c r="V487" t="s">
        <v>25</v>
      </c>
    </row>
    <row r="488" spans="17:24">
      <c r="Q488" s="97"/>
      <c r="R488" s="93"/>
      <c r="T488" t="s">
        <v>25</v>
      </c>
      <c r="U488" s="94" t="s">
        <v>25</v>
      </c>
      <c r="V488" t="s">
        <v>25</v>
      </c>
    </row>
    <row r="489" spans="17:24">
      <c r="Q489" s="97" t="s">
        <v>25</v>
      </c>
      <c r="R489" s="97" t="s">
        <v>25</v>
      </c>
      <c r="T489" t="s">
        <v>25</v>
      </c>
      <c r="U489" s="94" t="s">
        <v>25</v>
      </c>
    </row>
    <row r="490" spans="17:24">
      <c r="Q490" s="97" t="s">
        <v>25</v>
      </c>
      <c r="R490" s="93">
        <f>SUM(R298:R489)</f>
        <v>2395205854.2834125</v>
      </c>
      <c r="T490" t="s">
        <v>25</v>
      </c>
      <c r="U490" s="94" t="s">
        <v>25</v>
      </c>
      <c r="V490" t="s">
        <v>25</v>
      </c>
    </row>
    <row r="491" spans="17:24">
      <c r="Q491" s="97"/>
      <c r="R491" s="97" t="s">
        <v>6</v>
      </c>
      <c r="T491" t="s">
        <v>25</v>
      </c>
      <c r="U491" s="94" t="s">
        <v>25</v>
      </c>
    </row>
    <row r="492" spans="17:24">
      <c r="T492" t="s">
        <v>25</v>
      </c>
      <c r="U492" s="94" t="s">
        <v>25</v>
      </c>
    </row>
    <row r="493" spans="17:24">
      <c r="T493" t="s">
        <v>25</v>
      </c>
      <c r="U493" s="94" t="s">
        <v>25</v>
      </c>
      <c r="V493" t="s">
        <v>25</v>
      </c>
    </row>
    <row r="494" spans="17:24">
      <c r="Q494" t="s">
        <v>25</v>
      </c>
      <c r="T494" t="s">
        <v>25</v>
      </c>
      <c r="U494" s="94" t="s">
        <v>25</v>
      </c>
    </row>
    <row r="495" spans="17:24">
      <c r="T495" t="s">
        <v>25</v>
      </c>
    </row>
    <row r="496" spans="17:24">
      <c r="R496" t="s">
        <v>25</v>
      </c>
      <c r="T496" t="s">
        <v>25</v>
      </c>
      <c r="U496" s="94" t="s">
        <v>25</v>
      </c>
    </row>
    <row r="497" spans="17:20">
      <c r="R497" t="s">
        <v>25</v>
      </c>
    </row>
    <row r="498" spans="17:20">
      <c r="Q498" t="s">
        <v>25</v>
      </c>
      <c r="T498" t="s">
        <v>25</v>
      </c>
    </row>
    <row r="499" spans="17:20">
      <c r="R499" t="s">
        <v>25</v>
      </c>
      <c r="T499"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119 S59"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2021-02-14T02:53:25Z</dcterms:modified>
</cp:coreProperties>
</file>