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18" i="60" l="1"/>
  <c r="R56" i="63" l="1"/>
  <c r="Q56" i="63"/>
  <c r="O60" i="18" l="1"/>
  <c r="T142" i="18"/>
  <c r="T141" i="18"/>
  <c r="T72" i="18"/>
  <c r="T71" i="18"/>
  <c r="O38" i="18"/>
  <c r="G46" i="63"/>
  <c r="H46" i="63"/>
  <c r="I46" i="63"/>
  <c r="O46" i="63"/>
  <c r="G47" i="63"/>
  <c r="H47" i="63"/>
  <c r="I47" i="63"/>
  <c r="O47" i="63"/>
  <c r="G48" i="63"/>
  <c r="H48" i="63"/>
  <c r="J48" i="63" s="1"/>
  <c r="K48" i="63" s="1"/>
  <c r="I48" i="63"/>
  <c r="O48" i="63"/>
  <c r="G49" i="63"/>
  <c r="H49" i="63"/>
  <c r="I49" i="63"/>
  <c r="O49" i="63"/>
  <c r="G50" i="63"/>
  <c r="H50" i="63"/>
  <c r="I50" i="63"/>
  <c r="O50" i="63"/>
  <c r="G51" i="63"/>
  <c r="H51" i="63"/>
  <c r="I51" i="63"/>
  <c r="O51" i="63"/>
  <c r="G52" i="63"/>
  <c r="H52" i="63"/>
  <c r="I52" i="63"/>
  <c r="O52" i="63"/>
  <c r="G53" i="63"/>
  <c r="H53" i="63"/>
  <c r="I53" i="63"/>
  <c r="O53" i="63"/>
  <c r="G54" i="63"/>
  <c r="H54" i="63"/>
  <c r="I54" i="63"/>
  <c r="O54" i="63"/>
  <c r="G55" i="63"/>
  <c r="H55" i="63"/>
  <c r="I55" i="63"/>
  <c r="O55" i="63"/>
  <c r="G56" i="63"/>
  <c r="H56" i="63"/>
  <c r="I56" i="63"/>
  <c r="O56" i="63"/>
  <c r="G62" i="63"/>
  <c r="H62" i="63"/>
  <c r="I62" i="63"/>
  <c r="G63" i="63"/>
  <c r="H63" i="63"/>
  <c r="I63" i="63"/>
  <c r="G64" i="63"/>
  <c r="H64" i="63"/>
  <c r="I64" i="63"/>
  <c r="G65" i="63"/>
  <c r="H65" i="63"/>
  <c r="I65" i="63"/>
  <c r="N47" i="63" l="1"/>
  <c r="J46" i="63"/>
  <c r="K46" i="63" s="1"/>
  <c r="J62" i="63"/>
  <c r="K62" i="63" s="1"/>
  <c r="J55" i="63"/>
  <c r="K55" i="63" s="1"/>
  <c r="J53" i="63"/>
  <c r="K53" i="63" s="1"/>
  <c r="J51" i="63"/>
  <c r="K51" i="63" s="1"/>
  <c r="J49" i="63"/>
  <c r="K49" i="63" s="1"/>
  <c r="J47" i="63"/>
  <c r="K47" i="63" s="1"/>
  <c r="J54" i="63"/>
  <c r="K54" i="63" s="1"/>
  <c r="J50" i="63"/>
  <c r="K50" i="63" s="1"/>
  <c r="N48" i="63"/>
  <c r="N52" i="63"/>
  <c r="N55" i="63"/>
  <c r="N51" i="63"/>
  <c r="J56" i="63"/>
  <c r="K56" i="63" s="1"/>
  <c r="J52" i="63"/>
  <c r="K52" i="63" s="1"/>
  <c r="N53" i="63"/>
  <c r="N49" i="63"/>
  <c r="N54" i="63"/>
  <c r="N50" i="63"/>
  <c r="N56" i="63"/>
  <c r="J63" i="63"/>
  <c r="K63" i="63" s="1"/>
  <c r="J65" i="63"/>
  <c r="K65" i="63" s="1"/>
  <c r="J64" i="63"/>
  <c r="K64" i="63" s="1"/>
  <c r="T140" i="18"/>
  <c r="T70" i="18"/>
  <c r="I45" i="63"/>
  <c r="G45" i="63"/>
  <c r="H45" i="63"/>
  <c r="N46" i="63" s="1"/>
  <c r="O45" i="63"/>
  <c r="J45" i="63" l="1"/>
  <c r="K45" i="63" s="1"/>
  <c r="T69" i="18"/>
  <c r="O57" i="18"/>
  <c r="T139" i="18"/>
  <c r="H44" i="63"/>
  <c r="G44" i="63"/>
  <c r="I42" i="63"/>
  <c r="O42" i="63"/>
  <c r="I43" i="63"/>
  <c r="O43" i="63"/>
  <c r="I44" i="63"/>
  <c r="O44" i="63"/>
  <c r="G43" i="63"/>
  <c r="H43" i="63"/>
  <c r="I38" i="63"/>
  <c r="O38" i="63"/>
  <c r="I39" i="63"/>
  <c r="O39" i="63"/>
  <c r="I40" i="63"/>
  <c r="O40" i="63"/>
  <c r="I41" i="63"/>
  <c r="O41" i="63"/>
  <c r="G42" i="63"/>
  <c r="H42" i="63"/>
  <c r="G41" i="63"/>
  <c r="H41" i="63"/>
  <c r="G40" i="63"/>
  <c r="H40" i="63"/>
  <c r="N44" i="63" l="1"/>
  <c r="N45" i="63"/>
  <c r="N42" i="63"/>
  <c r="J44" i="63"/>
  <c r="K44" i="63" s="1"/>
  <c r="J42" i="63"/>
  <c r="K42" i="63" s="1"/>
  <c r="N41" i="63"/>
  <c r="N43" i="63"/>
  <c r="J43" i="63"/>
  <c r="K43" i="63" s="1"/>
  <c r="J40" i="63"/>
  <c r="K40" i="63" s="1"/>
  <c r="J41" i="63"/>
  <c r="K41" i="63" s="1"/>
  <c r="T138" i="18"/>
  <c r="I37" i="63"/>
  <c r="O37" i="63"/>
  <c r="G38" i="63"/>
  <c r="H38" i="63"/>
  <c r="G39" i="63"/>
  <c r="H39" i="63"/>
  <c r="X525" i="18"/>
  <c r="AB97" i="18"/>
  <c r="T99" i="18"/>
  <c r="T98" i="18"/>
  <c r="T68" i="18"/>
  <c r="O37" i="18"/>
  <c r="S308" i="18"/>
  <c r="U155" i="18"/>
  <c r="U157" i="18"/>
  <c r="X524" i="18"/>
  <c r="X523" i="18"/>
  <c r="N39" i="63" l="1"/>
  <c r="J38" i="63"/>
  <c r="K38" i="63" s="1"/>
  <c r="J39" i="63"/>
  <c r="K39" i="63" s="1"/>
  <c r="N40" i="63"/>
  <c r="T137" i="18"/>
  <c r="O62" i="18"/>
  <c r="T67" i="18"/>
  <c r="E122" i="63" l="1"/>
  <c r="X522" i="18"/>
  <c r="T66" i="18"/>
  <c r="S562" i="18" l="1"/>
  <c r="X521" i="18"/>
  <c r="AB123" i="18"/>
  <c r="AB124" i="18"/>
  <c r="AB125" i="18"/>
  <c r="AB126" i="18"/>
  <c r="AB127" i="18"/>
  <c r="AB128" i="18"/>
  <c r="AB129" i="18"/>
  <c r="AB130" i="18"/>
  <c r="AB131" i="18"/>
  <c r="AB122" i="18"/>
  <c r="AB57" i="18"/>
  <c r="AB58" i="18"/>
  <c r="AB59" i="18"/>
  <c r="AB60" i="18"/>
  <c r="AB61" i="18"/>
  <c r="AB62" i="18"/>
  <c r="AB56" i="18"/>
  <c r="T65" i="18"/>
  <c r="H69" i="63" l="1"/>
  <c r="I69" i="63"/>
  <c r="I70" i="63"/>
  <c r="I68" i="63"/>
  <c r="H70" i="63"/>
  <c r="H68" i="63"/>
  <c r="G70" i="63"/>
  <c r="G68" i="63"/>
  <c r="G69" i="63"/>
  <c r="S178" i="18"/>
  <c r="J68" i="63" l="1"/>
  <c r="K68" i="63" s="1"/>
  <c r="H29" i="60"/>
  <c r="C106" i="63" l="1"/>
  <c r="D106" i="63" s="1"/>
  <c r="C107" i="63"/>
  <c r="D107" i="63" s="1"/>
  <c r="C108" i="63"/>
  <c r="D108" i="63" s="1"/>
  <c r="C105" i="63"/>
  <c r="D105" i="63" s="1"/>
  <c r="D121" i="63" l="1"/>
  <c r="E121" i="63"/>
  <c r="G121" i="63" s="1"/>
  <c r="D122" i="63"/>
  <c r="G122" i="63"/>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D140" i="63"/>
  <c r="E140" i="63"/>
  <c r="D141" i="63"/>
  <c r="E141" i="63"/>
  <c r="D142" i="63"/>
  <c r="E142" i="63"/>
  <c r="E120" i="63"/>
  <c r="G120" i="63" s="1"/>
  <c r="D120" i="63"/>
  <c r="X520"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9" i="18" l="1"/>
  <c r="T63" i="18"/>
  <c r="D176" i="58" l="1"/>
  <c r="P24" i="18" l="1"/>
  <c r="X518" i="18" l="1"/>
  <c r="T136" i="18"/>
  <c r="J191" i="60" l="1"/>
  <c r="H323" i="18" l="1"/>
  <c r="X517" i="18"/>
  <c r="T135" i="18"/>
  <c r="I24" i="63"/>
  <c r="I25" i="63"/>
  <c r="G25" i="63"/>
  <c r="H25" i="63"/>
  <c r="J25" i="63" l="1"/>
  <c r="K25" i="63" s="1"/>
  <c r="X516"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1" i="63"/>
  <c r="H61" i="63"/>
  <c r="G61" i="63"/>
  <c r="J252" i="60" l="1"/>
  <c r="J61" i="63"/>
  <c r="K61"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5"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4" i="18" l="1"/>
  <c r="T134" i="18"/>
  <c r="X513" i="18" l="1"/>
  <c r="T133" i="18"/>
  <c r="X512" i="18" l="1"/>
  <c r="T132" i="18"/>
  <c r="X511"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66" i="63"/>
  <c r="J35" i="63" l="1"/>
  <c r="K35" i="63" s="1"/>
  <c r="J190" i="60"/>
  <c r="H190" i="60"/>
  <c r="F190" i="60"/>
  <c r="T129" i="18" l="1"/>
  <c r="X510" i="18"/>
  <c r="I32" i="63"/>
  <c r="O32" i="63"/>
  <c r="I33" i="63"/>
  <c r="O33" i="63"/>
  <c r="O34" i="63"/>
  <c r="G34" i="63"/>
  <c r="H34" i="63"/>
  <c r="N35" i="63" s="1"/>
  <c r="G33" i="63"/>
  <c r="H33" i="63"/>
  <c r="N34" i="63" l="1"/>
  <c r="J34" i="63"/>
  <c r="K34" i="63" s="1"/>
  <c r="J33" i="63"/>
  <c r="K33" i="63" s="1"/>
  <c r="X509" i="18"/>
  <c r="X508" i="18" l="1"/>
  <c r="T128" i="18" l="1"/>
  <c r="G32" i="63"/>
  <c r="H32" i="63"/>
  <c r="I30" i="63"/>
  <c r="I31" i="63"/>
  <c r="G31" i="63"/>
  <c r="H31" i="63"/>
  <c r="O31" i="63"/>
  <c r="N32" i="63" l="1"/>
  <c r="N33" i="63"/>
  <c r="J32" i="63"/>
  <c r="K32" i="63" s="1"/>
  <c r="J31" i="63"/>
  <c r="K31" i="63" s="1"/>
  <c r="T61" i="18"/>
  <c r="O30" i="63"/>
  <c r="G30" i="63"/>
  <c r="H30" i="63"/>
  <c r="J30" i="63" l="1"/>
  <c r="K30" i="63" s="1"/>
  <c r="N31" i="63"/>
  <c r="X507"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6" i="18" l="1"/>
  <c r="L51" i="18"/>
  <c r="J64" i="18"/>
  <c r="P66" i="63" l="1"/>
  <c r="I10" i="63" l="1"/>
  <c r="G10" i="63"/>
  <c r="H10" i="63"/>
  <c r="J10" i="63" l="1"/>
  <c r="K10" i="63" s="1"/>
  <c r="L16" i="18" l="1"/>
  <c r="L49" i="18"/>
  <c r="I60" i="63" l="1"/>
  <c r="H60" i="63"/>
  <c r="G60" i="63"/>
  <c r="I59" i="63"/>
  <c r="H59" i="63"/>
  <c r="J60" i="63" l="1"/>
  <c r="K60" i="63" s="1"/>
  <c r="J59" i="63"/>
  <c r="K59" i="63" s="1"/>
  <c r="G7" i="63"/>
  <c r="H7" i="63"/>
  <c r="I7" i="63"/>
  <c r="G8" i="63"/>
  <c r="H8" i="63"/>
  <c r="I8" i="63"/>
  <c r="G9" i="63"/>
  <c r="H9" i="63"/>
  <c r="N10" i="63" s="1"/>
  <c r="I9" i="63"/>
  <c r="J8" i="63" l="1"/>
  <c r="K8" i="63" s="1"/>
  <c r="J7" i="63"/>
  <c r="K7" i="63" s="1"/>
  <c r="J9" i="63"/>
  <c r="K9" i="63" s="1"/>
  <c r="N9" i="63"/>
  <c r="N8" i="63"/>
  <c r="I29" i="63" l="1"/>
  <c r="O29" i="63"/>
  <c r="I57"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8" i="63" l="1"/>
  <c r="H58" i="63"/>
  <c r="G59" i="63"/>
  <c r="J58" i="63" l="1"/>
  <c r="N69" i="63" l="1"/>
  <c r="N70" i="63"/>
  <c r="S18" i="63"/>
  <c r="U18" i="63" s="1"/>
  <c r="S19" i="63"/>
  <c r="U19" i="63" s="1"/>
  <c r="S20" i="63"/>
  <c r="S21" i="63"/>
  <c r="T21" i="63"/>
  <c r="U21" i="63"/>
  <c r="J70" i="63" l="1"/>
  <c r="K70" i="63" s="1"/>
  <c r="J69" i="63"/>
  <c r="K69" i="63" s="1"/>
  <c r="M87" i="63" l="1"/>
  <c r="M83" i="63"/>
  <c r="M84" i="63"/>
  <c r="H96" i="63" l="1"/>
  <c r="J2" i="60" l="1"/>
  <c r="X502" i="18" l="1"/>
  <c r="X497" i="18"/>
  <c r="X498" i="18"/>
  <c r="X499" i="18"/>
  <c r="X500" i="18"/>
  <c r="X501" i="18"/>
  <c r="X503" i="18"/>
  <c r="X504" i="18"/>
  <c r="X505" i="18"/>
  <c r="X526" i="18"/>
  <c r="X527" i="18"/>
  <c r="X528" i="18"/>
  <c r="P26" i="63"/>
  <c r="O26" i="63"/>
  <c r="O27" i="63"/>
  <c r="O28" i="63"/>
  <c r="X496" i="18" l="1"/>
  <c r="F18" i="60" l="1"/>
  <c r="F19" i="60"/>
  <c r="F17" i="60"/>
  <c r="F16" i="60" l="1"/>
  <c r="M86" i="63"/>
  <c r="M85" i="63"/>
  <c r="F29" i="60"/>
  <c r="E6" i="60" l="1"/>
  <c r="L6" i="60" s="1"/>
  <c r="F3" i="60" l="1"/>
  <c r="F4" i="60"/>
  <c r="F2" i="60"/>
  <c r="H95" i="63" l="1"/>
  <c r="X495" i="18" l="1"/>
  <c r="H94" i="63"/>
  <c r="N68" i="63"/>
  <c r="K113" i="18" l="1"/>
  <c r="M82" i="63" l="1"/>
  <c r="N52" i="18"/>
  <c r="I66" i="63"/>
  <c r="G66" i="63"/>
  <c r="H66" i="63"/>
  <c r="J66" i="63" l="1"/>
  <c r="K66"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5" i="63"/>
  <c r="M76" i="63"/>
  <c r="M77" i="63"/>
  <c r="M78" i="63"/>
  <c r="M79" i="63"/>
  <c r="M80" i="63"/>
  <c r="M81" i="63"/>
  <c r="M74" i="63"/>
  <c r="H93" i="63"/>
  <c r="I29" i="68" l="1"/>
  <c r="I41" i="68" s="1"/>
  <c r="X491" i="18"/>
  <c r="H9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1" i="63"/>
  <c r="X490" i="18"/>
  <c r="X489" i="18" l="1"/>
  <c r="V529" i="18"/>
  <c r="N45" i="18"/>
  <c r="N21" i="18"/>
  <c r="N29" i="18"/>
  <c r="G29" i="63" l="1"/>
  <c r="H29" i="63"/>
  <c r="N30" i="63" s="1"/>
  <c r="G28" i="63"/>
  <c r="H28" i="63"/>
  <c r="N29" i="63" l="1"/>
  <c r="J29" i="63"/>
  <c r="K29" i="63" s="1"/>
  <c r="J28" i="63"/>
  <c r="K28" i="63" s="1"/>
  <c r="X488" i="18"/>
  <c r="I27" i="63"/>
  <c r="G27" i="63"/>
  <c r="H27" i="63"/>
  <c r="N28" i="63" s="1"/>
  <c r="J27" i="63" l="1"/>
  <c r="K27" i="63" s="1"/>
  <c r="X487" i="18" l="1"/>
  <c r="N26" i="63"/>
  <c r="I26" i="63"/>
  <c r="H26" i="63"/>
  <c r="N27" i="63" s="1"/>
  <c r="G26" i="63"/>
  <c r="J26" i="63" l="1"/>
  <c r="K26" i="63" s="1"/>
  <c r="H81" i="63" l="1"/>
  <c r="G81" i="63"/>
  <c r="I80" i="63"/>
  <c r="G80" i="63"/>
  <c r="H80" i="63"/>
  <c r="J81" i="63" l="1"/>
  <c r="K81" i="63" s="1"/>
  <c r="J80" i="63"/>
  <c r="K80" i="63" s="1"/>
  <c r="Q13" i="63" l="1"/>
  <c r="G23" i="63" l="1"/>
  <c r="H23" i="63"/>
  <c r="N24" i="63" s="1"/>
  <c r="J23" i="63" l="1"/>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2" i="18" l="1"/>
  <c r="X481"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76" i="63"/>
  <c r="I77" i="63"/>
  <c r="I78" i="63"/>
  <c r="I79" i="63"/>
  <c r="I75" i="63"/>
  <c r="H5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7" i="63"/>
  <c r="K57" i="63" s="1"/>
  <c r="N58"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N24" i="18"/>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3"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U2" i="63"/>
  <c r="R133" i="60" l="1"/>
  <c r="S134" i="60"/>
  <c r="J21" i="63"/>
  <c r="K21" i="63" s="1"/>
  <c r="G75" i="63"/>
  <c r="H75" i="63"/>
  <c r="J75" i="63" s="1"/>
  <c r="K75" i="63" s="1"/>
  <c r="S133" i="60" l="1"/>
  <c r="R132" i="60"/>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8" i="63"/>
  <c r="G57" i="63"/>
  <c r="X450" i="18"/>
  <c r="R119" i="60" l="1"/>
  <c r="S120" i="60"/>
  <c r="K58"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U153" i="18" s="1"/>
  <c r="X447" i="18"/>
  <c r="G11" i="63"/>
  <c r="R116" i="60" l="1"/>
  <c r="S117" i="60"/>
  <c r="P33" i="18"/>
  <c r="G4" i="67" s="1"/>
  <c r="X446" i="18"/>
  <c r="R115" i="60" l="1"/>
  <c r="S116" i="60"/>
  <c r="H4" i="67"/>
  <c r="H10" i="67" s="1"/>
  <c r="G19" i="67"/>
  <c r="H19" i="67" s="1"/>
  <c r="H23" i="67" s="1"/>
  <c r="X445" i="18"/>
  <c r="S115" i="60" l="1"/>
  <c r="R114" i="60"/>
  <c r="E26" i="67"/>
  <c r="H1" i="63"/>
  <c r="S114" i="60" l="1"/>
  <c r="R113" i="60"/>
  <c r="J1" i="63"/>
  <c r="K1" i="63" s="1"/>
  <c r="P173" i="60"/>
  <c r="R112" i="60" l="1"/>
  <c r="S113" i="60"/>
  <c r="X442" i="18"/>
  <c r="R111" i="60" l="1"/>
  <c r="S112" i="60"/>
  <c r="X441" i="18"/>
  <c r="S111" i="60" l="1"/>
  <c r="R110" i="60"/>
  <c r="H11" i="63"/>
  <c r="J11" i="63" s="1"/>
  <c r="K11" i="63" s="1"/>
  <c r="S110" i="60" l="1"/>
  <c r="R109" i="60"/>
  <c r="N12" i="63"/>
  <c r="F46" i="60"/>
  <c r="G46" i="60" s="1"/>
  <c r="R108" i="60" l="1"/>
  <c r="S109" i="60"/>
  <c r="G77" i="63"/>
  <c r="H77" i="63"/>
  <c r="J77" i="63" s="1"/>
  <c r="K77" i="63" s="1"/>
  <c r="G78" i="63"/>
  <c r="H78" i="63"/>
  <c r="J78" i="63" s="1"/>
  <c r="G79" i="63"/>
  <c r="H79" i="63"/>
  <c r="G76" i="63"/>
  <c r="H76" i="63"/>
  <c r="J76" i="63" s="1"/>
  <c r="K76" i="63" s="1"/>
  <c r="X440" i="18"/>
  <c r="R107" i="60" l="1"/>
  <c r="S108" i="60"/>
  <c r="J79" i="63"/>
  <c r="K79" i="63" s="1"/>
  <c r="K78"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5"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1" i="18"/>
  <c r="T82" i="18" s="1"/>
  <c r="S174" i="18"/>
  <c r="S172" i="18"/>
  <c r="D57" i="51"/>
  <c r="T83" i="18" l="1"/>
  <c r="T84" i="18" s="1"/>
  <c r="T85" i="18" s="1"/>
  <c r="AM117" i="18"/>
  <c r="AN118" i="18"/>
  <c r="AN117" i="18" l="1"/>
  <c r="AM116" i="18"/>
  <c r="T86" i="18"/>
  <c r="T87" i="18" s="1"/>
  <c r="N33" i="18"/>
  <c r="S171"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2" i="18"/>
  <c r="W535" i="18" s="1"/>
  <c r="V545" i="18"/>
  <c r="W545" i="18" s="1"/>
  <c r="G304" i="20"/>
  <c r="I305" i="20"/>
  <c r="K305" i="20"/>
  <c r="J305" i="20"/>
  <c r="AM73" i="18"/>
  <c r="AN74" i="18"/>
  <c r="S108" i="18"/>
  <c r="W142" i="18" l="1"/>
  <c r="W141" i="18"/>
  <c r="W72" i="18"/>
  <c r="W71" i="18"/>
  <c r="W139" i="18"/>
  <c r="W70" i="18"/>
  <c r="W140" i="18"/>
  <c r="Y139" i="18"/>
  <c r="X139" i="18"/>
  <c r="W99" i="18"/>
  <c r="W98" i="18"/>
  <c r="W137" i="18"/>
  <c r="W67" i="18"/>
  <c r="W66" i="18"/>
  <c r="W64" i="18"/>
  <c r="X64" i="18" s="1"/>
  <c r="W65" i="18"/>
  <c r="W136" i="18"/>
  <c r="W135" i="18"/>
  <c r="W143" i="18"/>
  <c r="W138" i="18"/>
  <c r="W62" i="18"/>
  <c r="W63" i="18"/>
  <c r="W69" i="18"/>
  <c r="W75" i="18"/>
  <c r="W74" i="18"/>
  <c r="W68" i="18"/>
  <c r="W134" i="18"/>
  <c r="X134" i="18" s="1"/>
  <c r="W132" i="18"/>
  <c r="X132" i="18" s="1"/>
  <c r="W133" i="18"/>
  <c r="W131" i="18"/>
  <c r="W129" i="18"/>
  <c r="X129" i="18" s="1"/>
  <c r="W130" i="18"/>
  <c r="W61" i="18"/>
  <c r="X61" i="18" s="1"/>
  <c r="W128" i="18"/>
  <c r="W144"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4" i="18"/>
  <c r="X156"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1" i="18" l="1"/>
  <c r="Y141" i="18"/>
  <c r="X142" i="18"/>
  <c r="Y142" i="18"/>
  <c r="X71" i="18"/>
  <c r="Y71" i="18"/>
  <c r="X72" i="18"/>
  <c r="Y72" i="18"/>
  <c r="X70" i="18"/>
  <c r="Y70" i="18"/>
  <c r="X140" i="18"/>
  <c r="Y140" i="18"/>
  <c r="X98" i="18"/>
  <c r="Y98" i="18"/>
  <c r="X99" i="18"/>
  <c r="Y99" i="18"/>
  <c r="X67" i="18"/>
  <c r="Y67" i="18"/>
  <c r="X137" i="18"/>
  <c r="Y137" i="18"/>
  <c r="X66" i="18"/>
  <c r="Y66" i="18"/>
  <c r="Y64" i="18"/>
  <c r="X65" i="18"/>
  <c r="Y65" i="18"/>
  <c r="Y136" i="18"/>
  <c r="X136" i="18"/>
  <c r="Y135" i="18"/>
  <c r="X135" i="18"/>
  <c r="Y143" i="18"/>
  <c r="X143" i="18"/>
  <c r="X138" i="18"/>
  <c r="Y138" i="18"/>
  <c r="X75" i="18"/>
  <c r="Y75" i="18"/>
  <c r="Y69" i="18"/>
  <c r="X69" i="18"/>
  <c r="X68" i="18"/>
  <c r="Y68" i="18"/>
  <c r="X63" i="18"/>
  <c r="Y63" i="18"/>
  <c r="Y74" i="18"/>
  <c r="X74" i="18"/>
  <c r="X62" i="18"/>
  <c r="Y62" i="18"/>
  <c r="Y134" i="18"/>
  <c r="Y132" i="18"/>
  <c r="Y133" i="18"/>
  <c r="X133" i="18"/>
  <c r="Y129" i="18"/>
  <c r="Y131" i="18"/>
  <c r="X131" i="18"/>
  <c r="X130" i="18"/>
  <c r="Y130" i="18"/>
  <c r="Y61" i="18"/>
  <c r="X128" i="18"/>
  <c r="Y128" i="18"/>
  <c r="X144" i="18"/>
  <c r="Y144"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0"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5" i="18"/>
  <c r="G139" i="18" s="1"/>
  <c r="G302" i="20"/>
  <c r="K303" i="20"/>
  <c r="I303" i="20"/>
  <c r="J303" i="20"/>
  <c r="Y26" i="18"/>
  <c r="X86" i="18"/>
  <c r="Y86" i="18"/>
  <c r="X25" i="18"/>
  <c r="Y25" i="18"/>
  <c r="Y24" i="18"/>
  <c r="X85" i="18"/>
  <c r="Y85" i="18"/>
  <c r="X23" i="18"/>
  <c r="X84" i="18"/>
  <c r="Y84" i="18"/>
  <c r="X83" i="18"/>
  <c r="Y83" i="18"/>
  <c r="X153" i="18"/>
  <c r="Y82" i="18"/>
  <c r="X82" i="18"/>
  <c r="X22" i="18"/>
  <c r="Y22" i="18"/>
  <c r="X20" i="18"/>
  <c r="Y20" i="18"/>
  <c r="X112" i="18"/>
  <c r="Y112"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<sst xmlns="http://schemas.openxmlformats.org/spreadsheetml/2006/main" count="17135" uniqueCount="7109">
  <si>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</si>
  <si>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</si>
  <si>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</si>
  <si>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</si>
  <si>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</si>
  <si>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</si>
  <si>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</si>
  <si>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</si>
  <si>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</si>
  <si>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</si>
  <si>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</si>
  <si>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</si>
  <si>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</si>
  <si>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</si>
  <si>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</si>
  <si>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</si>
  <si>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</si>
  <si>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</si>
  <si>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</si>
  <si>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</si>
  <si>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</si>
  <si>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</si>
  <si>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</si>
  <si>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</si>
  <si>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</si>
  <si>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</si>
  <si>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</si>
  <si>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</si>
  <si>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</si>
  <si>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</si>
  <si>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</si>
  <si>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</si>
  <si>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</si>
  <si>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</si>
  <si>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</si>
  <si>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</si>
  <si>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</si>
  <si>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</si>
  <si>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</si>
  <si>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</si>
  <si>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</si>
  <si>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</si>
  <si>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</si>
  <si>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</si>
  <si>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</si>
  <si>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</si>
  <si>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</si>
  <si>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</si>
  <si>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</si>
  <si>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</si>
  <si>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</si>
  <si>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</si>
  <si>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</si>
  <si>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</si>
  <si>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</si>
  <si>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</si>
  <si>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</si>
  <si>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</si>
  <si>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</si>
  <si>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</si>
  <si>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</si>
  <si>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</si>
  <si>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</si>
  <si>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</si>
  <si>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</si>
  <si>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</si>
  <si>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</si>
  <si>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</si>
  <si>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</si>
  <si>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</si>
  <si>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</si>
  <si>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</si>
  <si>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</si>
  <si>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</si>
  <si>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</si>
  <si>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</si>
  <si>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</si>
  <si>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</si>
  <si>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</si>
  <si>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</si>
  <si>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</si>
  <si>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</si>
  <si>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</si>
  <si>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</si>
  <si>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</si>
  <si>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</si>
  <si>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</si>
  <si>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</si>
  <si>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</si>
  <si>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</si>
  <si>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</si>
  <si>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</si>
  <si>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</si>
  <si>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</si>
  <si>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</si>
  <si>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</si>
  <si>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</si>
  <si>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</si>
  <si>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</si>
  <si>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</si>
  <si>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</si>
  <si>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</si>
  <si>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</si>
  <si>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</si>
  <si>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</si>
  <si>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</si>
  <si>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</si>
  <si>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</si>
  <si>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</si>
  <si>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</si>
  <si>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</si>
  <si>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</si>
  <si>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</si>
  <si>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</si>
  <si>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</si>
  <si>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</si>
  <si>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</si>
  <si>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</si>
  <si>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</si>
  <si>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</si>
  <si>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</si>
  <si>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</si>
  <si>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</si>
  <si>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</si>
  <si>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</si>
  <si>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</si>
  <si>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</si>
  <si>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</si>
  <si>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</si>
  <si>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</si>
  <si>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</si>
  <si>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</si>
  <si>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</si>
  <si>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</si>
  <si>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</si>
  <si>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</si>
  <si>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</si>
  <si>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</si>
  <si>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</si>
  <si>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</si>
  <si>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</si>
  <si>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</si>
  <si>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</si>
  <si>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</si>
  <si>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</si>
  <si>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</si>
  <si>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</si>
  <si>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</si>
  <si>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</si>
  <si>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</si>
  <si>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</si>
  <si>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</si>
  <si>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</si>
  <si>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</si>
  <si>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</si>
  <si>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</si>
  <si>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</si>
  <si>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</si>
  <si>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</si>
  <si>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</si>
  <si>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</si>
  <si>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</si>
  <si>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</si>
  <si>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</si>
  <si>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</si>
  <si>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</si>
  <si>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</si>
  <si>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</si>
  <si>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</si>
  <si>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</si>
  <si>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</si>
  <si>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</si>
  <si>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</si>
  <si>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</si>
  <si>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</si>
  <si>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</si>
  <si>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</si>
  <si>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</si>
  <si>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</si>
  <si>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</si>
  <si>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</si>
  <si>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</si>
  <si>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</si>
  <si>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</si>
  <si>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</si>
  <si>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</si>
  <si>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</si>
  <si>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</si>
  <si>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</si>
  <si>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</si>
  <si>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</si>
  <si>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</si>
  <si>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</si>
  <si>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</si>
  <si>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</si>
  <si>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</si>
  <si>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</si>
  <si>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</si>
  <si>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</si>
  <si>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</si>
  <si>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</si>
  <si>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</si>
  <si>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</si>
  <si>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</si>
  <si>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</si>
  <si>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</si>
  <si>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</si>
  <si>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</si>
  <si>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</si>
  <si>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</si>
  <si>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</si>
  <si>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</si>
  <si>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</si>
  <si>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</si>
  <si>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</si>
  <si>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</si>
  <si>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</si>
  <si>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</si>
  <si>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</si>
  <si>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</si>
  <si>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</si>
  <si>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</si>
  <si>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</si>
  <si>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</si>
  <si>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</si>
  <si>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</si>
  <si>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</si>
  <si>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</si>
  <si>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</si>
  <si>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</si>
  <si>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</si>
  <si>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</si>
  <si>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</si>
  <si>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</si>
  <si>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</si>
  <si>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</si>
  <si>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</si>
  <si>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</si>
  <si>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</si>
  <si>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</si>
  <si>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</si>
  <si>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</si>
  <si>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</si>
  <si>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</si>
  <si>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</si>
  <si>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</si>
  <si>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</si>
  <si>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</si>
  <si>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</si>
  <si>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</si>
  <si>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</si>
  <si>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</si>
  <si>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</si>
  <si>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</si>
  <si>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</si>
  <si>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</si>
  <si>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</si>
  <si>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</si>
  <si>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</si>
  <si>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</si>
  <si>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</si>
  <si>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</si>
  <si>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</si>
  <si>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</si>
  <si>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</si>
  <si>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</si>
  <si>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</si>
  <si>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</si>
  <si>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</si>
  <si>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</si>
  <si>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</si>
  <si>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</si>
  <si>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</si>
  <si>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</si>
  <si>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</si>
  <si>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</si>
  <si>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</si>
  <si>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</si>
  <si>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</si>
  <si>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</si>
  <si>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</si>
  <si>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</si>
  <si>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</si>
  <si>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</si>
  <si>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</si>
  <si>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</si>
  <si>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</si>
  <si>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</si>
  <si>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</si>
  <si>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</si>
  <si>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</si>
  <si>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</si>
  <si>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</si>
  <si>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</si>
  <si>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</si>
  <si>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</si>
  <si>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</si>
  <si>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</si>
  <si>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</si>
  <si>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</si>
  <si>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</si>
  <si>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</si>
  <si>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</si>
  <si>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</si>
  <si>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</si>
  <si>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</si>
  <si>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</si>
  <si>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</si>
  <si>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</si>
  <si>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</si>
  <si>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</si>
  <si>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</si>
  <si>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</si>
  <si>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</si>
  <si>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</si>
  <si>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</si>
  <si>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</si>
  <si>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</si>
  <si>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</si>
  <si>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</si>
  <si>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</si>
  <si>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</si>
  <si>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</si>
  <si>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</si>
  <si>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</si>
  <si>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</si>
  <si>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</si>
  <si>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</si>
  <si>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</si>
  <si>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</si>
  <si>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</si>
  <si>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</si>
  <si>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</si>
  <si>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</si>
  <si>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</si>
  <si>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</si>
  <si>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</si>
  <si>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</si>
  <si>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</si>
  <si>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</si>
  <si>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</si>
  <si>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</si>
  <si>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</si>
  <si>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</si>
  <si>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</si>
  <si>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</si>
  <si>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</si>
  <si>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</si>
  <si>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</si>
  <si>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</si>
  <si>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</si>
  <si>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</si>
  <si>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</si>
  <si>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</si>
  <si>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</si>
  <si>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</si>
  <si>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</si>
  <si>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</si>
  <si>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</si>
  <si>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</si>
  <si>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</si>
  <si>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</si>
  <si>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</si>
  <si>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</si>
  <si>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</si>
  <si>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</si>
  <si>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</si>
  <si>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</si>
  <si>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</si>
  <si>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</si>
  <si>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</si>
  <si>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</si>
  <si>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</si>
  <si>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</si>
  <si>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</si>
  <si>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</si>
  <si>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</si>
  <si>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</si>
  <si>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</si>
  <si>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</si>
  <si>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</si>
  <si>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</si>
  <si>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</si>
  <si>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</si>
  <si>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</si>
  <si>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</si>
  <si>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</si>
  <si>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</si>
  <si>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</si>
  <si>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</si>
  <si>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</si>
  <si>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</si>
  <si>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</si>
  <si>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</si>
  <si>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</si>
  <si>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</si>
  <si>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</si>
  <si>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</si>
  <si>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</si>
  <si>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</si>
  <si>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</si>
  <si>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</si>
  <si>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</si>
  <si>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</si>
  <si>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</si>
  <si>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</si>
  <si>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</si>
  <si>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</si>
  <si>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</si>
  <si>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</si>
  <si>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</si>
  <si>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</si>
  <si>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</si>
  <si>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</si>
  <si>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</si>
  <si>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</si>
  <si>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</si>
  <si>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</si>
  <si>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</si>
  <si>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</si>
  <si>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</si>
  <si>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</si>
  <si>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</si>
  <si>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</si>
  <si>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</si>
  <si>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</si>
  <si>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</si>
  <si>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</si>
  <si>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</si>
  <si>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</si>
  <si>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</si>
  <si>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</si>
  <si>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</si>
  <si>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</si>
  <si>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</si>
  <si>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</si>
  <si>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</si>
  <si>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</si>
  <si>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</si>
  <si>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</si>
  <si>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</si>
  <si>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</si>
  <si>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</si>
  <si>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</si>
  <si>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</si>
  <si>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</si>
  <si>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</si>
  <si>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</si>
  <si>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</si>
  <si>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</si>
  <si>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</si>
  <si>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</si>
  <si>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</si>
  <si>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</si>
  <si>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</si>
  <si>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</si>
  <si>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</si>
  <si>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</si>
  <si>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</si>
  <si>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</si>
  <si>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</si>
  <si>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</si>
  <si>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</si>
  <si>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</si>
  <si>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</si>
  <si>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</si>
  <si>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</si>
  <si>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</si>
  <si>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</si>
  <si>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</si>
  <si>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</si>
  <si>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</si>
  <si>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</si>
  <si>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</si>
  <si>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</si>
  <si>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</si>
  <si>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</si>
  <si>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</si>
  <si>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</si>
  <si>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</si>
  <si>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</si>
  <si>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</si>
  <si>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</si>
  <si>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</si>
  <si>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</si>
  <si>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</si>
  <si>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</si>
  <si>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</si>
  <si>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</si>
  <si>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</si>
  <si>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</si>
  <si>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</si>
  <si>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</si>
  <si>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</si>
  <si>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</si>
  <si>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</si>
  <si>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</si>
  <si>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</si>
  <si>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</si>
  <si>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</si>
  <si>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</si>
  <si>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</si>
  <si>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</si>
  <si>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</si>
  <si>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</si>
  <si>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</si>
  <si>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</si>
  <si>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</si>
  <si>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</si>
  <si>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</si>
  <si>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</si>
  <si>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</si>
  <si>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</si>
  <si>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</si>
  <si>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</si>
  <si>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</si>
  <si>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</si>
  <si>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</si>
  <si>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</si>
  <si>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</si>
  <si>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</si>
  <si>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</si>
  <si>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</si>
  <si>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</si>
  <si>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</si>
  <si>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</si>
  <si>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</si>
  <si>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</si>
  <si>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</si>
  <si>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</si>
  <si>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</si>
  <si>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</si>
  <si>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</si>
  <si>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</si>
  <si>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</si>
  <si>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</si>
  <si>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</si>
  <si>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</si>
  <si>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</si>
  <si>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</si>
  <si>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</si>
  <si>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</si>
  <si>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</si>
  <si>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</si>
  <si>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</si>
  <si>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</si>
  <si>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</si>
  <si>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</si>
  <si>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</si>
  <si>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</si>
  <si>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</si>
  <si>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</si>
  <si>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</si>
  <si>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</si>
  <si>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</si>
  <si>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</si>
  <si>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</si>
  <si>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</si>
  <si>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</si>
  <si>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</si>
  <si>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</si>
  <si>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</si>
  <si>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</si>
  <si>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</si>
  <si>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</si>
  <si>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</si>
  <si>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</si>
  <si>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</si>
  <si>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</si>
  <si>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</si>
  <si>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</si>
  <si>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</si>
  <si>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</si>
  <si>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</si>
  <si>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</si>
  <si>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</si>
  <si>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</si>
  <si>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</si>
  <si>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</si>
  <si>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</si>
  <si>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</si>
  <si>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</si>
  <si>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</si>
  <si>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</si>
  <si>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</si>
  <si>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</si>
  <si>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</si>
  <si>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</si>
  <si>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</si>
  <si>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</si>
  <si>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</si>
  <si>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</si>
  <si>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</si>
  <si>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</si>
  <si>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</si>
  <si>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</si>
  <si>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</si>
  <si>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</si>
  <si>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</si>
  <si>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</si>
  <si>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</si>
  <si>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</si>
  <si>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</si>
  <si>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</si>
  <si>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</si>
  <si>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</si>
  <si>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</si>
  <si>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</si>
  <si>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</si>
  <si>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</si>
  <si>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</si>
  <si>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</si>
  <si>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</si>
  <si>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</si>
  <si>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</si>
  <si>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</si>
  <si>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</si>
  <si>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</si>
  <si>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</si>
  <si>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</si>
  <si>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</si>
  <si>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</si>
  <si>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</si>
  <si>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</si>
  <si>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</si>
  <si>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</si>
  <si>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</si>
  <si>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</si>
  <si>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</si>
  <si>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</si>
  <si>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</si>
  <si>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</si>
  <si>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</si>
  <si>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</si>
  <si>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</si>
  <si>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</si>
  <si>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</si>
  <si>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</si>
  <si>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</si>
  <si>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</si>
  <si>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</si>
  <si>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</si>
  <si>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</si>
  <si>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</si>
  <si>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</si>
  <si>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</si>
  <si>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</si>
  <si>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</si>
  <si>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</si>
  <si>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</si>
  <si>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</si>
  <si>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</si>
  <si>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</si>
  <si>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</si>
  <si>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</si>
  <si>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</si>
  <si>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</si>
  <si>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</si>
  <si>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</si>
  <si>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</si>
  <si>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</si>
  <si>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</si>
  <si>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</si>
  <si>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</si>
  <si>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</si>
  <si>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</si>
  <si>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</si>
  <si>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</si>
  <si>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</si>
  <si>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</si>
  <si>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</si>
  <si>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</si>
  <si>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</si>
  <si>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</si>
  <si>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</si>
  <si>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</si>
  <si>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</si>
  <si>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</si>
  <si>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</si>
  <si>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</si>
  <si>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</si>
  <si>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</si>
  <si>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</si>
  <si>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</si>
  <si>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</si>
  <si>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</si>
  <si>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</si>
  <si>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</si>
  <si>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</si>
  <si>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</si>
  <si>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</si>
  <si>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</si>
  <si>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</si>
  <si>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</si>
  <si>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</si>
  <si>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</si>
  <si>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</si>
  <si>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</si>
  <si>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</si>
  <si>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</si>
  <si>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</si>
  <si>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</si>
  <si>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</si>
  <si>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</si>
  <si>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</si>
  <si>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</si>
  <si>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</si>
  <si>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</si>
  <si>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</si>
  <si>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</si>
  <si>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</si>
  <si>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</si>
  <si>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</si>
  <si>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</si>
  <si>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</si>
  <si>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</si>
  <si>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</si>
  <si>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</si>
  <si>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</si>
  <si>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</si>
  <si>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</si>
  <si>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</si>
  <si>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</si>
  <si>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</si>
  <si>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</si>
  <si>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</si>
  <si>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</si>
  <si>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</si>
  <si>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</si>
  <si>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</si>
  <si>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</si>
  <si>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</si>
  <si>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</si>
  <si>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</si>
  <si>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</si>
  <si>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</si>
  <si>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</si>
  <si>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</si>
  <si>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</si>
  <si>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</si>
  <si>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</si>
  <si>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</si>
  <si>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</si>
  <si>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</si>
  <si>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</si>
  <si>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</si>
  <si>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</si>
  <si>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</si>
  <si>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</si>
  <si>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</si>
  <si>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</si>
  <si>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</si>
  <si>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</si>
  <si>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</si>
  <si>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</si>
  <si>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</si>
  <si>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</si>
  <si>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</si>
  <si>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</si>
  <si>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</si>
  <si>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</si>
  <si>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</si>
  <si>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</si>
  <si>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</si>
  <si>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</si>
  <si>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</si>
  <si>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</si>
  <si>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</si>
  <si>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</si>
  <si>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</si>
  <si>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</si>
  <si>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</si>
  <si>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</si>
  <si>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</si>
  <si>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</si>
  <si>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</si>
  <si>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</si>
  <si>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</si>
  <si>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</si>
  <si>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</si>
  <si>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</si>
  <si>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</si>
  <si>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</si>
  <si>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</si>
  <si>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</si>
  <si>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</si>
  <si>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</si>
  <si>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</si>
  <si>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</si>
  <si>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</si>
  <si>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</si>
  <si>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</si>
  <si>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</si>
  <si>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</si>
  <si>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</si>
  <si>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</si>
  <si>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</si>
  <si>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</si>
  <si>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</si>
  <si>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</si>
  <si>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</si>
  <si>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</si>
  <si>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</si>
  <si>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</si>
  <si>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</si>
  <si>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</si>
  <si>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</si>
  <si>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</si>
  <si>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</si>
  <si>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</si>
  <si>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</si>
  <si>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</si>
  <si>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</si>
  <si>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</si>
  <si>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</si>
  <si>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</si>
  <si>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</si>
  <si>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</si>
  <si>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</si>
  <si>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</si>
  <si>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</si>
  <si>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</si>
  <si>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</si>
  <si>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</si>
  <si>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</si>
  <si>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</si>
  <si>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</si>
  <si>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</si>
  <si>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</si>
  <si>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</si>
  <si>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</si>
  <si>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</si>
  <si>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</si>
  <si>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</si>
  <si>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</si>
  <si>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</si>
  <si>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</si>
  <si>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</si>
  <si>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</si>
  <si>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</si>
  <si>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</si>
  <si>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</si>
  <si>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</si>
  <si>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</si>
  <si>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</si>
  <si>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</si>
  <si>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</si>
  <si>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</si>
  <si>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</si>
  <si>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</si>
  <si>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</si>
  <si>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</si>
  <si>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</si>
  <si>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</si>
  <si>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</si>
  <si>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</si>
  <si>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</si>
  <si>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</si>
  <si>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</si>
  <si>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</si>
  <si>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</si>
  <si>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</si>
  <si>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</si>
  <si>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</si>
  <si>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</si>
  <si>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</si>
  <si>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</si>
  <si>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</si>
  <si>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</si>
  <si>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</si>
  <si>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</si>
  <si>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</si>
  <si>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</si>
  <si>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</si>
  <si>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</si>
  <si>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</si>
  <si>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</si>
  <si>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</si>
  <si>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</si>
  <si>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</si>
  <si>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</si>
  <si>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</si>
  <si>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</si>
  <si>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</si>
  <si>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</si>
  <si>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</si>
  <si>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</si>
  <si>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</si>
  <si>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</si>
  <si>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</si>
  <si>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</si>
  <si>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</si>
  <si>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</si>
  <si>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</si>
  <si>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</si>
  <si>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</si>
  <si>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</si>
  <si>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</si>
  <si>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</si>
  <si>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</si>
  <si>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</si>
  <si>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</si>
  <si>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</si>
  <si>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</si>
  <si>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</si>
  <si>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</si>
  <si>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</si>
  <si>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</si>
  <si>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</si>
  <si>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</si>
  <si>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</si>
  <si>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</si>
  <si>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</si>
  <si>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</si>
  <si>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</si>
  <si>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</si>
  <si>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</si>
  <si>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</si>
  <si>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</si>
  <si>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</si>
  <si>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</si>
  <si>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</si>
  <si>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</si>
  <si>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</si>
  <si>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</si>
  <si>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</si>
  <si>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</si>
  <si>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</si>
  <si>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</si>
  <si>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</si>
  <si>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</si>
  <si>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</si>
  <si>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</si>
  <si>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</si>
  <si>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</si>
  <si>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</si>
  <si>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</si>
  <si>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</si>
  <si>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</si>
  <si>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</si>
  <si>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</si>
  <si>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</si>
  <si>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</si>
  <si>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</si>
  <si>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</si>
  <si>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</si>
  <si>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</si>
  <si>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</si>
  <si>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</si>
  <si>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</si>
  <si>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</si>
  <si>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</si>
  <si>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</si>
  <si>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</si>
  <si>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</si>
  <si>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</si>
  <si>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</si>
  <si>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</si>
  <si>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</si>
  <si>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</si>
  <si>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</si>
  <si>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</si>
  <si>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</si>
  <si>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</si>
  <si>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</si>
  <si>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</si>
  <si>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</si>
  <si>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</si>
  <si>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</si>
  <si>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</si>
  <si>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</si>
  <si>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</si>
  <si>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</si>
  <si>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</si>
  <si>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</si>
  <si>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</si>
  <si>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</si>
  <si>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</si>
  <si>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</si>
  <si>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</si>
  <si>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</si>
  <si>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</si>
  <si>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</si>
  <si>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</si>
  <si>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</si>
  <si>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</si>
  <si>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</si>
  <si>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</si>
  <si>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</si>
  <si>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</si>
  <si>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</si>
  <si>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</si>
  <si>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</si>
  <si>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</si>
  <si>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</si>
  <si>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</si>
  <si>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</si>
  <si>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</si>
  <si>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</si>
  <si>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</si>
  <si>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</si>
  <si>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</si>
  <si>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</si>
  <si>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</si>
  <si>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</si>
  <si>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</si>
  <si>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</si>
  <si>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</si>
  <si>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</si>
  <si>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</si>
  <si>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</si>
  <si>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</si>
  <si>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</si>
  <si>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</si>
  <si>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</si>
  <si>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</si>
  <si>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</si>
  <si>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</si>
  <si>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</si>
  <si>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</si>
  <si>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</si>
  <si>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</si>
  <si>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</si>
  <si>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</si>
  <si>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</si>
  <si>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</si>
  <si>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</si>
  <si>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</si>
  <si>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</si>
  <si>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</si>
  <si>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</si>
  <si>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</si>
  <si>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</si>
  <si>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</si>
  <si>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</si>
  <si>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</si>
  <si>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</si>
  <si>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</si>
  <si>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</si>
  <si>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</si>
  <si>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</si>
  <si>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</si>
  <si>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</si>
  <si>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</si>
  <si>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</si>
  <si>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</si>
  <si>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</si>
  <si>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</si>
  <si>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</si>
  <si>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</si>
  <si>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</si>
  <si>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</si>
  <si>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</si>
  <si>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</si>
  <si>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</si>
  <si>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</si>
  <si>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</si>
  <si>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</si>
  <si>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</si>
  <si>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</si>
  <si>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</si>
  <si>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</si>
  <si>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</si>
  <si>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</si>
  <si>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</si>
  <si>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</si>
  <si>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</si>
  <si>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</si>
  <si>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</si>
  <si>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</si>
  <si>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</si>
  <si>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</si>
  <si>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</si>
  <si>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</si>
  <si>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</si>
  <si>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</si>
  <si>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</si>
  <si>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</si>
  <si>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</si>
  <si>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</si>
  <si>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</si>
  <si>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</si>
  <si>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</si>
  <si>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</si>
  <si>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</si>
  <si>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</si>
  <si>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</si>
  <si>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</si>
  <si>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</si>
  <si>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</si>
  <si>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</si>
  <si>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</si>
  <si>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</si>
  <si>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</si>
  <si>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</si>
  <si>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</si>
  <si>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</si>
  <si>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</si>
  <si>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</si>
  <si>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</si>
  <si>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</si>
  <si>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</si>
  <si>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</si>
  <si>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</si>
  <si>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</si>
  <si>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</si>
  <si>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</si>
  <si>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</si>
  <si>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</si>
  <si>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</si>
  <si>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</si>
  <si>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</si>
  <si>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</si>
  <si>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</si>
  <si>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</si>
  <si>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</si>
  <si>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</si>
  <si>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</si>
  <si>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</si>
  <si>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</si>
  <si>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</si>
  <si>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</si>
  <si>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</si>
  <si>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</si>
  <si>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</si>
  <si>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</si>
  <si>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</si>
  <si>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</si>
  <si>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</si>
  <si>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</si>
  <si>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</si>
  <si>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</si>
  <si>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</si>
  <si>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</si>
  <si>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</si>
  <si>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</si>
  <si>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</si>
  <si>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</si>
  <si>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</si>
  <si>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</si>
  <si>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</si>
  <si>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</si>
  <si>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</si>
  <si>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</si>
  <si>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</si>
  <si>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</si>
  <si>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</si>
  <si>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</si>
  <si>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</si>
  <si>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</si>
  <si>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</si>
  <si>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</si>
  <si>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</si>
  <si>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</si>
  <si>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</si>
  <si>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</si>
  <si>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</si>
  <si>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</si>
  <si>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</si>
  <si>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</si>
  <si>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</si>
  <si>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</si>
  <si>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</si>
  <si>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</si>
  <si>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</si>
  <si>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</si>
  <si>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</si>
  <si>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</si>
  <si>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</si>
  <si>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</si>
  <si>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</si>
  <si>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</si>
  <si>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</si>
  <si>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</si>
  <si>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</si>
  <si>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</si>
  <si>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</si>
  <si>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</si>
  <si>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</si>
  <si>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</si>
  <si>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</si>
  <si>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</si>
  <si>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</si>
  <si>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</si>
  <si>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</si>
  <si>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</si>
  <si>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</si>
  <si>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</si>
  <si>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</si>
  <si>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</si>
  <si>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</si>
  <si>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</si>
  <si>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</si>
  <si>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</si>
  <si>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</si>
  <si>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</si>
  <si>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</si>
  <si>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</si>
  <si>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</si>
  <si>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</si>
  <si>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</si>
  <si>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</si>
  <si>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</si>
  <si>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</si>
  <si>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</si>
  <si>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</si>
  <si>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</si>
  <si>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</si>
  <si>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</si>
  <si>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</si>
  <si>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</si>
  <si>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</si>
  <si>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</si>
  <si>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</si>
  <si>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</si>
  <si>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</si>
  <si>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</si>
  <si>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</si>
  <si>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</si>
  <si>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</si>
  <si>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</si>
  <si>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</si>
  <si>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</si>
  <si>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</si>
  <si>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</si>
  <si>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</si>
  <si>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</si>
  <si>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</si>
  <si>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</si>
  <si>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</si>
  <si>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</si>
  <si>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</si>
  <si>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</si>
  <si>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</si>
  <si>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</si>
  <si>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</si>
  <si>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</si>
  <si>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</si>
  <si>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</si>
  <si>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</si>
  <si>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</si>
  <si>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</si>
  <si>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</si>
  <si>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</si>
  <si>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</si>
  <si>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</si>
  <si>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</si>
  <si>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</si>
  <si>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</si>
  <si>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</si>
  <si>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</si>
  <si>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</si>
  <si>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</si>
  <si>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</si>
  <si>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</si>
  <si>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</si>
  <si>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</si>
  <si>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</si>
  <si>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</si>
  <si>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</si>
  <si>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</si>
  <si>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</si>
  <si>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</si>
  <si>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</si>
  <si>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</si>
  <si>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</si>
  <si>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</si>
  <si>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</si>
  <si>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</si>
  <si>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</si>
  <si>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</si>
  <si>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</si>
  <si>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</si>
  <si>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</si>
  <si>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</si>
  <si>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</si>
  <si>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</si>
  <si>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</si>
  <si>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</si>
  <si>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</si>
  <si>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</si>
  <si>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</si>
  <si>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</si>
  <si>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</si>
  <si>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</si>
  <si>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</si>
  <si>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</si>
  <si>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</si>
  <si>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</si>
  <si>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</si>
  <si>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</si>
  <si>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</si>
  <si>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</si>
  <si>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</si>
  <si>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</si>
  <si>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</si>
  <si>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</si>
  <si>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</si>
  <si>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</si>
  <si>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</si>
  <si>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</si>
  <si>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</si>
  <si>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</si>
  <si>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</si>
  <si>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</si>
  <si>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</si>
  <si>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</si>
  <si>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</si>
  <si>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</si>
  <si>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</si>
  <si>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</si>
  <si>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</si>
  <si>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</si>
  <si>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</si>
  <si>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</si>
  <si>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</si>
  <si>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</si>
  <si>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</si>
  <si>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</si>
  <si>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</si>
  <si>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</si>
  <si>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</si>
  <si>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</si>
  <si>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</si>
  <si>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</si>
  <si>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</si>
  <si>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</si>
  <si>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</si>
  <si>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</si>
  <si>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</si>
  <si>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</si>
  <si>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</si>
  <si>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</si>
  <si>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</si>
  <si>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</si>
  <si>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</si>
  <si>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</si>
  <si>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</si>
  <si>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</si>
  <si>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</si>
  <si>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</si>
  <si>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</si>
  <si>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</si>
  <si>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</si>
  <si>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</si>
  <si>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</si>
  <si>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</si>
  <si>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</si>
  <si>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</si>
  <si>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</si>
  <si>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</si>
  <si>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</si>
  <si>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</si>
  <si>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</si>
  <si>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</si>
  <si>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</si>
  <si>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</si>
  <si>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</si>
  <si>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</si>
  <si>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</si>
  <si>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</si>
  <si>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</si>
  <si>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</si>
  <si>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</si>
  <si>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</si>
  <si>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</si>
  <si>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</si>
  <si>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</si>
  <si>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</si>
  <si>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</si>
  <si>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</si>
  <si>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</si>
  <si>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</si>
  <si>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</si>
  <si>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</si>
  <si>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</si>
  <si>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</si>
  <si>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</si>
  <si>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</si>
  <si>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</si>
  <si>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</si>
  <si>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</si>
  <si>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</si>
  <si>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</si>
  <si>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</si>
  <si>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</si>
  <si>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</si>
  <si>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</si>
  <si>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</si>
  <si>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</si>
  <si>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</si>
  <si>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</si>
  <si>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</si>
  <si>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</si>
  <si>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</si>
  <si>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</si>
  <si>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</si>
  <si>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</si>
  <si>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</si>
  <si>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</si>
  <si>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</si>
  <si>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</si>
  <si>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</si>
  <si>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</si>
  <si>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</si>
  <si>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</si>
  <si>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</si>
  <si>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</si>
  <si>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</si>
  <si>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</si>
  <si>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</si>
  <si>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</si>
  <si>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</si>
  <si>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</si>
  <si>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</si>
  <si>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</si>
  <si>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</si>
  <si>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</si>
  <si>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</si>
  <si>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</si>
  <si>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</si>
  <si>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</si>
  <si>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</si>
  <si>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</si>
  <si>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</si>
  <si>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</si>
  <si>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</si>
  <si>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</si>
  <si>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</si>
  <si>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</si>
  <si>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</si>
  <si>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</si>
  <si>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</si>
  <si>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</si>
  <si>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</si>
  <si>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</si>
  <si>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</si>
  <si>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</si>
  <si>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</si>
  <si>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</si>
  <si>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</si>
  <si>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</si>
  <si>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</si>
  <si>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</si>
  <si>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</si>
  <si>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</si>
  <si>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</si>
  <si>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</si>
  <si>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</si>
  <si>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</si>
  <si>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</si>
  <si>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</si>
  <si>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</si>
  <si>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</si>
  <si>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</si>
  <si>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</si>
  <si>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</si>
  <si>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</si>
  <si>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</si>
  <si>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</si>
  <si>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</si>
  <si>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</si>
  <si>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</si>
  <si>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</si>
  <si>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</si>
  <si>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</si>
  <si>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</si>
  <si>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</si>
  <si>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</si>
  <si>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</si>
  <si>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</si>
  <si>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</si>
  <si>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</si>
  <si>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</si>
  <si>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</si>
  <si>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</si>
  <si>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</si>
  <si>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</si>
  <si>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</si>
  <si>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</si>
  <si>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</si>
  <si>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</si>
  <si>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</si>
  <si>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</si>
  <si>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</si>
  <si>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</si>
  <si>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</si>
  <si>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</si>
  <si>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</si>
  <si>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</si>
  <si>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</si>
  <si>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</si>
  <si>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</si>
  <si>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</si>
  <si>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</si>
  <si>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</si>
  <si>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</si>
  <si>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</si>
  <si>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</si>
  <si>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</si>
  <si>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</si>
  <si>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</si>
  <si>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</si>
  <si>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</si>
  <si>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</si>
  <si>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</si>
  <si>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</si>
  <si>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</si>
  <si>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</si>
  <si>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</si>
  <si>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</si>
  <si>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</si>
  <si>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</si>
  <si>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</si>
  <si>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</si>
  <si>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</si>
  <si>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</si>
  <si>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</si>
  <si>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</si>
  <si>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</si>
  <si>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</si>
  <si>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</si>
  <si>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</si>
  <si>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</si>
  <si>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</si>
  <si>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</si>
  <si>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</si>
  <si>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</si>
  <si>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</si>
  <si>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</si>
  <si>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</si>
  <si>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</si>
  <si>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</si>
  <si>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</si>
  <si>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</si>
  <si>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</si>
  <si>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</si>
  <si>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</si>
  <si>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</si>
  <si>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</si>
  <si>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</si>
  <si>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</si>
  <si>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</si>
  <si>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</si>
  <si>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</si>
  <si>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</si>
  <si>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</si>
  <si>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</si>
  <si>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</si>
  <si>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</si>
  <si>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</si>
  <si>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</si>
  <si>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</si>
  <si>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</si>
  <si>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</si>
  <si>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</si>
  <si>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</si>
  <si>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</si>
  <si>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</si>
  <si>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</si>
  <si>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</si>
  <si>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</si>
  <si>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</si>
  <si>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</si>
  <si>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</si>
  <si>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</si>
  <si>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</si>
  <si>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</si>
  <si>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</si>
  <si>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</si>
  <si>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</si>
  <si>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</si>
  <si>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</si>
  <si>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</si>
  <si>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</si>
  <si>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</si>
  <si>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</si>
  <si>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</si>
  <si>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</si>
  <si>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</si>
  <si>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</si>
  <si>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</si>
  <si>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</si>
  <si>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</si>
  <si>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</si>
  <si>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</si>
  <si>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</si>
  <si>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</si>
  <si>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</si>
  <si>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</si>
  <si>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</si>
  <si>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</si>
  <si>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</si>
  <si>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</si>
  <si>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</si>
  <si>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</si>
  <si>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</si>
  <si>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</si>
  <si>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</si>
  <si>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</si>
  <si>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</si>
  <si>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</si>
  <si>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</si>
  <si>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</si>
  <si>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</si>
  <si>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</si>
  <si>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</si>
  <si>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</si>
  <si>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</si>
  <si>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</si>
  <si>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</si>
  <si>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</si>
  <si>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</si>
  <si>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</si>
  <si>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</si>
  <si>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</si>
  <si>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</si>
  <si>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</si>
  <si>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</si>
  <si>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</si>
  <si>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</si>
  <si>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</si>
  <si>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</si>
  <si>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</si>
  <si>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</si>
  <si>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</si>
  <si>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</si>
  <si>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</si>
  <si>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</si>
  <si>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</si>
  <si>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</si>
  <si>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</si>
  <si>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</si>
  <si>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</si>
  <si>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</si>
  <si>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</si>
  <si>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</si>
  <si>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</si>
  <si>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</si>
  <si>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</si>
  <si>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</si>
  <si>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</si>
  <si>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</si>
  <si>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</si>
  <si>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</si>
  <si>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</si>
  <si>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</si>
  <si>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</si>
  <si>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</si>
  <si>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</si>
  <si>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</si>
  <si>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</si>
  <si>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</si>
  <si>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</si>
  <si>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</si>
  <si>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</si>
  <si>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</si>
  <si>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</si>
  <si>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</si>
  <si>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</si>
  <si>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</si>
  <si>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</si>
  <si>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</si>
  <si>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</si>
  <si>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</si>
  <si>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</si>
  <si>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</si>
  <si>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</si>
  <si>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</si>
  <si>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</si>
  <si>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</si>
  <si>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</si>
  <si>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</si>
  <si>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</si>
  <si>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</si>
  <si>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</si>
  <si>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</si>
  <si>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</si>
  <si>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</si>
  <si>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</si>
  <si>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</si>
  <si>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</si>
  <si>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</si>
  <si>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</si>
  <si>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</si>
  <si>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</si>
  <si>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</si>
  <si>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</si>
  <si>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</si>
  <si>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</si>
  <si>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</si>
  <si>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</si>
  <si>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</si>
  <si>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</si>
  <si>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</si>
  <si>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</si>
  <si>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</si>
  <si>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</si>
  <si>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</si>
  <si>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</si>
  <si>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</si>
  <si>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</si>
  <si>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</si>
  <si>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</si>
  <si>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</si>
  <si>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</si>
  <si>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</si>
  <si>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</si>
  <si>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</si>
  <si>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</si>
  <si>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</si>
  <si>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</si>
  <si>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</si>
  <si>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</si>
  <si>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</si>
  <si>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</si>
  <si>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</si>
  <si>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</si>
  <si>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</si>
  <si>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</si>
  <si>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</si>
  <si>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</si>
  <si>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</si>
  <si>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</si>
  <si>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</si>
  <si>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</si>
  <si>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</si>
  <si>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</si>
  <si>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</si>
  <si>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</si>
  <si>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</si>
  <si>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</si>
  <si>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</si>
  <si>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</si>
  <si>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</si>
  <si>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</si>
  <si>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</si>
  <si>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</si>
  <si>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</si>
  <si>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</si>
  <si>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</si>
  <si>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</si>
  <si>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</si>
  <si>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</si>
  <si>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</si>
  <si>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</si>
  <si>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</si>
  <si>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</si>
  <si>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</si>
  <si>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</si>
  <si>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</si>
  <si>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</si>
  <si>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</si>
  <si>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</si>
  <si>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</si>
  <si>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</si>
  <si>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</si>
  <si>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</si>
  <si>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</si>
  <si>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</si>
  <si>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</si>
  <si>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</si>
  <si>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</si>
  <si>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</si>
  <si>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</si>
  <si>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</si>
  <si>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</si>
  <si>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</si>
  <si>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</si>
  <si>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</si>
  <si>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</si>
  <si>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</si>
  <si>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</si>
  <si>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</si>
  <si>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</si>
  <si>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</si>
  <si>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</si>
  <si>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</si>
  <si>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</si>
  <si>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</si>
  <si>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</si>
  <si>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</si>
  <si>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</si>
  <si>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</si>
  <si>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</si>
  <si>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</si>
  <si>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</si>
  <si>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</si>
  <si>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</si>
  <si>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</si>
  <si>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</si>
  <si>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</si>
  <si>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</si>
  <si>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</si>
  <si>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</si>
  <si>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</si>
  <si>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</si>
  <si>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</si>
  <si>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</si>
  <si>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</si>
  <si>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</si>
  <si>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</si>
  <si>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</si>
  <si>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</si>
  <si>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</si>
  <si>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</si>
  <si>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</si>
  <si>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</si>
  <si>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</si>
  <si>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</si>
  <si>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</si>
  <si>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</si>
  <si>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</si>
  <si>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</si>
  <si>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</si>
  <si>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</si>
  <si>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</si>
  <si>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</si>
  <si>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</si>
  <si>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</si>
  <si>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</si>
  <si>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</si>
  <si>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</si>
  <si>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</si>
  <si>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</si>
  <si>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</si>
  <si>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</si>
  <si>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</si>
  <si>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</si>
  <si>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</si>
  <si>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</si>
  <si>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</si>
  <si>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</si>
  <si>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</si>
  <si>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</si>
  <si>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</si>
  <si>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</si>
  <si>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</si>
  <si>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</si>
  <si>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</si>
  <si>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</si>
  <si>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</si>
  <si>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</si>
  <si>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</si>
  <si>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</si>
  <si>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</si>
  <si>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</si>
  <si>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</si>
  <si>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</si>
  <si>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</si>
  <si>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</si>
  <si>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</si>
  <si>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</si>
  <si>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</si>
  <si>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</si>
  <si>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</si>
  <si>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</si>
  <si>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</si>
  <si>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</si>
  <si>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</si>
  <si>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</si>
  <si>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</si>
  <si>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</si>
  <si>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</si>
  <si>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</si>
  <si>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</si>
  <si>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</si>
  <si>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</si>
  <si>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</si>
  <si>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</si>
  <si>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</si>
  <si>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</si>
  <si>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</si>
  <si>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</si>
  <si>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</si>
  <si>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</si>
  <si>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</si>
  <si>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</si>
  <si>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</si>
  <si>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</si>
  <si>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</si>
  <si>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</si>
  <si>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</si>
  <si>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</si>
  <si>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</si>
  <si>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</si>
  <si>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</si>
  <si>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</si>
  <si>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</si>
  <si>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</si>
  <si>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</si>
  <si>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</si>
  <si>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</si>
  <si>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</si>
  <si>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</si>
  <si>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</si>
  <si>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</si>
  <si>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</si>
  <si>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</si>
  <si>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</si>
  <si>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</si>
  <si>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</si>
  <si>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</si>
  <si>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</si>
  <si>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</si>
  <si>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</si>
  <si>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</si>
  <si>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</si>
  <si>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</si>
  <si>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</si>
  <si>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</si>
  <si>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</si>
  <si>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</si>
  <si>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</si>
  <si>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</si>
  <si>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</si>
  <si>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</si>
  <si>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</si>
  <si>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</si>
  <si>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</si>
  <si>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</si>
  <si>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</si>
  <si>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</si>
  <si>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</si>
  <si>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</si>
  <si>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</si>
  <si>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</si>
  <si>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</si>
  <si>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</si>
  <si>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</si>
  <si>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</si>
  <si>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</si>
  <si>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</si>
  <si>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</si>
  <si>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</si>
  <si>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</si>
  <si>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</si>
  <si>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</si>
  <si>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</si>
  <si>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</si>
  <si>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</si>
  <si>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</si>
  <si>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</si>
  <si>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</si>
  <si>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</si>
  <si>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</si>
  <si>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</si>
  <si>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</si>
  <si>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</si>
  <si>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</si>
  <si>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</si>
  <si>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</si>
  <si>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</si>
  <si>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</si>
  <si>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</si>
  <si>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</si>
  <si>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</si>
  <si>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</si>
  <si>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</si>
  <si>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</si>
  <si>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</si>
  <si>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</si>
  <si>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</si>
  <si>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</si>
  <si>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</si>
  <si>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</si>
  <si>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</si>
  <si>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</si>
  <si>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</si>
  <si>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</si>
  <si>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</si>
  <si>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</si>
  <si>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</si>
  <si>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</si>
  <si>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</si>
  <si>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</si>
  <si>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</si>
  <si>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</si>
  <si>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</si>
  <si>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</si>
  <si>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</si>
  <si>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</si>
  <si>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</si>
  <si>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</si>
  <si>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</si>
  <si>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</si>
  <si>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</si>
  <si>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</si>
  <si>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</si>
  <si>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</si>
  <si>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</si>
  <si>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</si>
  <si>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</si>
  <si>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</si>
  <si>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</si>
  <si>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</si>
  <si>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</si>
  <si>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</si>
  <si>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</si>
  <si>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</si>
  <si>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</si>
  <si>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</si>
  <si>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</si>
  <si>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</si>
  <si>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</si>
  <si>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</si>
  <si>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</si>
  <si>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</si>
  <si>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</si>
  <si>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</si>
  <si>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</si>
  <si>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</si>
  <si>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</si>
  <si>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</si>
  <si>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</si>
  <si>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</si>
  <si>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</si>
  <si>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</si>
  <si>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</si>
  <si>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</si>
  <si>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</si>
  <si>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</si>
  <si>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</si>
  <si>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</si>
  <si>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</si>
  <si>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</si>
  <si>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</si>
  <si>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</si>
  <si>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</si>
  <si>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</si>
  <si>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</si>
  <si>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</si>
  <si>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</si>
  <si>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</si>
  <si>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</si>
  <si>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</si>
  <si>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</si>
  <si>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</si>
  <si>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</si>
  <si>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</si>
  <si>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</si>
  <si>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</si>
  <si>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</si>
  <si>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</si>
  <si>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</si>
  <si>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</si>
  <si>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</si>
  <si>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</si>
  <si>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</si>
  <si>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</si>
  <si>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</si>
  <si>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</si>
  <si>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</si>
  <si>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</si>
  <si>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</si>
  <si>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</si>
  <si>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</si>
  <si>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</si>
  <si>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</si>
  <si>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</si>
  <si>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</si>
  <si>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</si>
  <si>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</si>
  <si>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</si>
  <si>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</si>
  <si>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</si>
  <si>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</si>
  <si>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</si>
  <si>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</si>
  <si>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</si>
  <si>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</si>
  <si>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</si>
  <si>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</si>
  <si>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</si>
  <si>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</si>
  <si>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</si>
  <si>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</si>
  <si>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</si>
  <si>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</si>
  <si>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</si>
  <si>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</si>
  <si>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</si>
  <si>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</si>
  <si>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</si>
  <si>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</si>
  <si>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</si>
  <si>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</si>
  <si>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</si>
  <si>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</si>
  <si>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</si>
  <si>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</si>
  <si>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</si>
  <si>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</si>
  <si>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</si>
  <si>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</si>
  <si>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</si>
  <si>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</si>
  <si>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</si>
  <si>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</si>
  <si>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</si>
  <si>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</si>
  <si>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</si>
  <si>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</si>
  <si>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</si>
  <si>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</si>
  <si>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</si>
  <si>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</si>
  <si>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</si>
  <si>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</si>
  <si>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</si>
  <si>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</si>
  <si>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</si>
  <si>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</si>
  <si>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</si>
  <si>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</si>
  <si>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</si>
  <si>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</si>
  <si>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</si>
  <si>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</si>
  <si>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</si>
  <si>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</si>
  <si>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</si>
  <si>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</si>
  <si>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</si>
  <si>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</si>
  <si>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</si>
  <si>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</si>
  <si>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</si>
  <si>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</si>
  <si>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</si>
  <si>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</si>
  <si>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</si>
  <si>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</si>
  <si>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</si>
  <si>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</si>
  <si>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</si>
  <si>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</si>
  <si>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</si>
  <si>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</si>
  <si>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</si>
  <si>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</si>
  <si>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</si>
  <si>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</si>
  <si>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</si>
  <si>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</si>
  <si>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</si>
  <si>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</si>
  <si>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</si>
  <si>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</si>
  <si>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</si>
  <si>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</si>
  <si>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</si>
  <si>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</si>
  <si>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</si>
  <si>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</si>
  <si>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</si>
  <si>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</si>
  <si>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</si>
  <si>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</si>
  <si>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</si>
  <si>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</si>
  <si>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</si>
  <si>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</si>
  <si>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</si>
  <si>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</si>
  <si>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</si>
  <si>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</si>
  <si>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</si>
  <si>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</si>
  <si>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</si>
  <si>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</si>
  <si>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</si>
  <si>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</si>
  <si>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</si>
  <si>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</si>
  <si>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</si>
  <si>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</si>
  <si>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</si>
  <si>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</si>
  <si>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</si>
  <si>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</si>
  <si>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</si>
  <si>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</si>
  <si>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</si>
  <si>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</si>
  <si>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</si>
  <si>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</si>
  <si>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</si>
  <si>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</si>
  <si>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</si>
  <si>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</si>
  <si>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</si>
  <si>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</si>
  <si>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</si>
  <si>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</si>
  <si>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</si>
  <si>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</si>
  <si>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</si>
  <si>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</si>
  <si>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</si>
  <si>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</si>
  <si>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</si>
  <si>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</si>
  <si>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</si>
  <si>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</si>
  <si>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</si>
  <si>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</si>
  <si>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</si>
  <si>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</si>
  <si>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</si>
  <si>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</si>
  <si>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</si>
  <si>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</si>
  <si>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</si>
  <si>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</si>
  <si>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</si>
  <si>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</si>
  <si>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</si>
  <si>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</si>
  <si>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</si>
  <si>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</si>
  <si>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</si>
  <si>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</si>
  <si>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</si>
  <si>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</si>
  <si>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</si>
  <si>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</si>
  <si>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</si>
  <si>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</si>
  <si>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</si>
  <si>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</si>
  <si>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</si>
  <si>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</si>
  <si>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</si>
  <si>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</si>
  <si>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</si>
  <si>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</si>
  <si>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</si>
  <si>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</si>
  <si>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</si>
  <si>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</si>
  <si>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</si>
  <si>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</si>
  <si>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</si>
  <si>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</si>
  <si>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</si>
  <si>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</si>
  <si>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</si>
  <si>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</si>
  <si>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</si>
  <si>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</si>
  <si>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</si>
  <si>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</si>
  <si>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</si>
  <si>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</si>
  <si>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</si>
  <si>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</si>
  <si>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</si>
  <si>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</si>
  <si>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</si>
  <si>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</si>
  <si>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</si>
  <si>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</si>
  <si>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</si>
  <si>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</si>
  <si>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</si>
  <si>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</si>
  <si>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</si>
  <si>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</si>
  <si>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</si>
  <si>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</si>
  <si>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</si>
  <si>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</si>
  <si>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</si>
  <si>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</si>
  <si>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</si>
  <si>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</si>
  <si>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</si>
  <si>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</si>
  <si>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</si>
  <si>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</si>
  <si>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</si>
  <si>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</si>
  <si>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</si>
  <si>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</si>
  <si>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</si>
  <si>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</si>
  <si>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</si>
  <si>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</si>
  <si>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</si>
  <si>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</si>
  <si>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</si>
  <si>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</si>
  <si>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</si>
  <si>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</si>
  <si>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</si>
  <si>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</si>
  <si>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</si>
  <si>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</si>
  <si>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</si>
  <si>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</si>
  <si>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</si>
  <si>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</si>
  <si>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</si>
  <si>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</si>
  <si>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</si>
  <si>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</si>
  <si>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</si>
  <si>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</si>
  <si>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</si>
  <si>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</si>
  <si>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</si>
  <si>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</si>
  <si>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</si>
  <si>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</si>
  <si>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</si>
  <si>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</si>
  <si>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</si>
  <si>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</si>
  <si>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</si>
  <si>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</si>
  <si>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</si>
  <si>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</si>
  <si>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</si>
  <si>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</si>
  <si>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</si>
  <si>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</si>
  <si>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</si>
  <si>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</si>
  <si>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</si>
  <si>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</si>
  <si>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</si>
  <si>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</si>
  <si>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</si>
  <si>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</si>
  <si>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</si>
  <si>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</si>
  <si>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</si>
  <si>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</si>
  <si>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</si>
  <si>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</si>
  <si>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</si>
  <si>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</si>
  <si>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</si>
  <si>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</si>
  <si>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</si>
  <si>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</si>
  <si>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</si>
  <si>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</si>
  <si>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</si>
  <si>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</si>
  <si>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</si>
  <si>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</si>
  <si>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</si>
  <si>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</si>
  <si>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</si>
  <si>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</si>
  <si>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</si>
  <si>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</si>
  <si>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</si>
  <si>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</si>
  <si>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</si>
  <si>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</si>
  <si>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</si>
  <si>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</si>
  <si>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</si>
  <si>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</si>
  <si>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</si>
  <si>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</si>
  <si>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</si>
  <si>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</si>
  <si>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</si>
  <si>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</si>
  <si>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</si>
  <si>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</si>
  <si>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</si>
  <si>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</si>
  <si>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</si>
  <si>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</si>
  <si>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</si>
  <si>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</si>
  <si>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</si>
  <si>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</si>
  <si>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</si>
  <si>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</si>
  <si>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</si>
  <si>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</si>
  <si>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</si>
  <si>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</si>
  <si>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</si>
  <si>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</si>
  <si>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</si>
  <si>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</si>
  <si>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</si>
  <si>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</si>
  <si>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</si>
  <si>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</si>
  <si>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</si>
  <si>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</si>
  <si>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</si>
  <si>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</si>
  <si>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</si>
  <si>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</si>
  <si>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</si>
  <si>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</si>
  <si>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</si>
  <si>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</si>
  <si>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</si>
  <si>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</si>
  <si>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</si>
  <si>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</si>
  <si>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</si>
  <si>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</si>
  <si>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</si>
  <si>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</si>
  <si>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</si>
  <si>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</si>
  <si>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</si>
  <si>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</si>
  <si>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</si>
  <si>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</si>
  <si>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</si>
  <si>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</si>
  <si>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</si>
  <si>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</si>
  <si>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</si>
  <si>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</si>
  <si>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</si>
  <si>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</si>
  <si>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</si>
  <si>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</si>
  <si>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</si>
  <si>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</si>
  <si>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</si>
  <si>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</si>
  <si>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</si>
  <si>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</si>
  <si>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</si>
  <si>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</si>
  <si>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</si>
  <si>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</si>
  <si>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</si>
  <si>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</si>
  <si>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</si>
  <si>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</si>
  <si>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</si>
  <si>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</si>
  <si>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</si>
  <si>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</si>
  <si>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</si>
  <si>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</si>
  <si>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</si>
  <si>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</si>
  <si>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</si>
  <si>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</si>
  <si>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</si>
  <si>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</si>
  <si>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</si>
  <si>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</si>
  <si>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</si>
  <si>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</si>
  <si>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</si>
  <si>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</si>
  <si>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</si>
  <si>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</si>
  <si>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</si>
  <si>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</si>
  <si>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</si>
  <si>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</si>
  <si>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</si>
  <si>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</si>
  <si>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</si>
  <si>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</si>
  <si>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</si>
  <si>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</si>
  <si>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</si>
  <si>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</si>
  <si>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</si>
  <si>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</si>
  <si>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</si>
  <si>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</si>
  <si>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</si>
  <si>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</si>
  <si>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</si>
  <si>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</si>
  <si>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</si>
  <si>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</si>
  <si>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</si>
  <si>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</si>
  <si>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</si>
  <si>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</si>
  <si>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</si>
  <si>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</si>
  <si>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</si>
  <si>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</si>
  <si>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</si>
  <si>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</si>
  <si>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</si>
  <si>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</si>
  <si>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</si>
  <si>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</si>
  <si>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</si>
  <si>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</si>
  <si>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</si>
  <si>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</si>
  <si>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</si>
  <si>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</si>
  <si>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</si>
  <si>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</si>
  <si>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</si>
  <si>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</si>
  <si>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</si>
  <si>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</si>
  <si>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</si>
  <si>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</si>
  <si>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</si>
  <si>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</si>
  <si>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</si>
  <si>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</si>
  <si>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</si>
  <si>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</si>
  <si>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</si>
  <si>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</si>
  <si>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</si>
  <si>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</si>
  <si>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</si>
  <si>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</si>
  <si>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</si>
  <si>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</si>
  <si>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</si>
  <si>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</si>
  <si>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</si>
  <si>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</si>
  <si>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</si>
  <si>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</si>
  <si>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</si>
  <si>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</si>
  <si>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</si>
  <si>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</si>
  <si>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</si>
  <si>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</si>
  <si>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</si>
  <si>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</si>
  <si>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</si>
  <si>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</si>
  <si>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</si>
  <si>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</si>
  <si>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</si>
  <si>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</si>
  <si>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</si>
  <si>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</si>
  <si>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</si>
  <si>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</si>
  <si>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</si>
  <si>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</si>
  <si>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</si>
  <si>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</si>
  <si>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</si>
  <si>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</si>
  <si>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</si>
  <si>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</si>
  <si>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</si>
  <si>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</si>
  <si>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</si>
  <si>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</si>
  <si>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</si>
  <si>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</si>
  <si>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</si>
  <si>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</si>
  <si>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</si>
  <si>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</si>
  <si>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</si>
  <si>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</si>
  <si>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</si>
  <si>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</si>
  <si>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</si>
  <si>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</si>
  <si>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</si>
  <si>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</si>
  <si>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</si>
  <si>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</si>
  <si>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</si>
  <si>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</si>
  <si>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</si>
  <si>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</si>
  <si>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</si>
  <si>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</si>
  <si>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</si>
  <si>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</si>
  <si>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</si>
  <si>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</si>
  <si>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</si>
  <si>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</si>
  <si>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</si>
  <si>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</si>
  <si>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</si>
  <si>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</si>
  <si>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</si>
  <si>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</si>
  <si>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</si>
  <si>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</si>
  <si>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</si>
  <si>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</si>
  <si>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</si>
  <si>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</si>
  <si>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</si>
  <si>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</si>
  <si>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</si>
  <si>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</si>
  <si>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</si>
  <si>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</si>
  <si>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</si>
  <si>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</si>
  <si>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</si>
  <si>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</si>
  <si>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</si>
  <si>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</si>
  <si>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</si>
  <si>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</si>
  <si>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</si>
  <si>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</si>
  <si>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</si>
  <si>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</si>
  <si>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</si>
  <si>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</si>
  <si>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</si>
  <si>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</si>
  <si>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</si>
  <si>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</si>
  <si>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</si>
  <si>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</si>
  <si>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</si>
  <si>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</si>
  <si>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</si>
  <si>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</si>
  <si>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</si>
  <si>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</si>
  <si>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</si>
  <si>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</si>
  <si>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</si>
  <si>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</si>
  <si>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</si>
  <si>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</si>
  <si>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</si>
  <si>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</si>
  <si>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</si>
  <si>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</si>
  <si>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</si>
  <si>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</si>
  <si>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</si>
  <si>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</si>
  <si>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</si>
  <si>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</si>
  <si>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</si>
  <si>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</si>
  <si>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</si>
  <si>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</si>
  <si>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</si>
  <si>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</si>
  <si>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</si>
  <si>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</si>
  <si>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</si>
  <si>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</si>
  <si>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</si>
  <si>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</si>
  <si>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</si>
  <si>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</si>
  <si>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</si>
  <si>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</si>
  <si>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</si>
  <si>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</si>
  <si>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</si>
  <si>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</si>
  <si>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</si>
  <si>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</si>
  <si>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</si>
  <si>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</si>
  <si>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</si>
  <si>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</si>
  <si>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</si>
  <si>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</si>
  <si>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</si>
  <si>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</si>
  <si>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</si>
  <si>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</si>
  <si>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</si>
  <si>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</si>
  <si>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</si>
  <si>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</si>
  <si>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</si>
  <si>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</si>
  <si>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</si>
  <si>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</si>
  <si>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</si>
  <si>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</si>
  <si>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</si>
  <si>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</si>
  <si>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</si>
  <si>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</si>
  <si>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</si>
  <si>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</si>
  <si>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</si>
  <si>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</si>
  <si>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</si>
  <si>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</si>
  <si>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</si>
  <si>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</si>
  <si>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</si>
  <si>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</si>
  <si>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</si>
  <si>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</si>
  <si>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</si>
  <si>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</si>
  <si>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</si>
  <si>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</si>
  <si>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</si>
  <si>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</si>
  <si>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</si>
  <si>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</si>
  <si>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</si>
  <si>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</si>
  <si>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</si>
  <si>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</si>
  <si>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</si>
  <si>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</si>
  <si>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</si>
  <si>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</si>
  <si>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</si>
  <si>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</si>
  <si>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</si>
  <si>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</si>
  <si>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</si>
  <si>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</si>
  <si>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</si>
  <si>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</si>
  <si>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</si>
  <si>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</si>
  <si>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</si>
  <si>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</si>
  <si>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</si>
  <si>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</si>
  <si>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</si>
  <si>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</si>
  <si>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</si>
  <si>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</si>
  <si>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</si>
  <si>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</si>
  <si>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</si>
  <si>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</si>
  <si>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</si>
  <si>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</si>
  <si>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</si>
  <si>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</si>
  <si>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</si>
  <si>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</si>
  <si>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</si>
  <si>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</si>
  <si>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</si>
  <si>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</si>
  <si>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</si>
  <si>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</si>
  <si>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</si>
  <si>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</si>
  <si>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</si>
  <si>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</si>
  <si>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</si>
  <si>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</si>
  <si>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</si>
  <si>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</si>
  <si>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</si>
  <si>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</si>
  <si>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</si>
  <si>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</si>
  <si>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</si>
  <si>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</si>
  <si>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</si>
  <si>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</si>
  <si>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</si>
  <si>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</si>
  <si>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</si>
  <si>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</si>
  <si>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</si>
  <si>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</si>
  <si>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</si>
  <si>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</si>
  <si>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</si>
  <si>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</si>
  <si>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</si>
  <si>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</si>
  <si>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</si>
  <si>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</si>
  <si>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</si>
  <si>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</si>
  <si>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</si>
  <si>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</si>
  <si>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</si>
  <si>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</si>
  <si>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</si>
  <si>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</si>
  <si>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</si>
  <si>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</si>
  <si>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</si>
  <si>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</si>
  <si>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</si>
  <si>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</si>
  <si>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</si>
  <si>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</si>
  <si>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</si>
  <si>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</si>
  <si>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</si>
  <si>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</si>
  <si>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</si>
  <si>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</si>
  <si>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</si>
  <si>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</si>
  <si>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</si>
  <si>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</si>
  <si>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</si>
  <si>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</si>
  <si>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</si>
  <si>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</si>
  <si>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</si>
  <si>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</si>
  <si>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</si>
  <si>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</si>
  <si>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</si>
  <si>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</si>
  <si>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</si>
  <si>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</si>
  <si>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</si>
  <si>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</si>
  <si>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</si>
  <si>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</si>
  <si>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</si>
  <si>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</si>
  <si>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</si>
  <si>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</si>
  <si>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</si>
  <si>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</si>
  <si>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</si>
  <si>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</si>
  <si>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</si>
  <si>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</si>
  <si>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</si>
  <si>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</si>
  <si>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</si>
  <si>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</si>
  <si>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</si>
  <si>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</si>
  <si>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</si>
  <si>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</si>
  <si>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</si>
  <si>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</si>
  <si>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</si>
  <si>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</si>
  <si>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</si>
  <si>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</si>
  <si>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</si>
  <si>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</si>
  <si>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</si>
  <si>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</si>
  <si>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</si>
  <si>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</si>
  <si>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</si>
  <si>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</si>
  <si>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</si>
  <si>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</si>
  <si>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</si>
  <si>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</si>
  <si>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</si>
  <si>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</si>
  <si>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</si>
  <si>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</si>
  <si>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</si>
  <si>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</si>
  <si>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</si>
  <si>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</si>
  <si>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</si>
  <si>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</si>
  <si>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</si>
  <si>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</si>
  <si>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</si>
  <si>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</si>
  <si>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</si>
  <si>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</si>
  <si>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</si>
  <si>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</si>
  <si>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</si>
  <si>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</si>
  <si>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</si>
  <si>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</si>
  <si>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</si>
  <si>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</si>
  <si>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</si>
  <si>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</si>
  <si>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</si>
  <si>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</si>
  <si>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</si>
  <si>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</si>
  <si>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</si>
  <si>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</si>
  <si>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</si>
  <si>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</si>
  <si>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</si>
  <si>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</si>
  <si>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</si>
  <si>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</si>
  <si>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</si>
  <si>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</si>
  <si>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</si>
  <si>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</si>
  <si>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</si>
  <si>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</si>
  <si>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</si>
  <si>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</si>
  <si>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</si>
  <si>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</si>
  <si>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</si>
  <si>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</si>
  <si>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</si>
  <si>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</si>
  <si>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</si>
  <si>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</si>
  <si>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</si>
  <si>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</si>
  <si>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</si>
  <si>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</si>
  <si>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</si>
  <si>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</si>
  <si>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</si>
  <si>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</si>
  <si>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</si>
  <si>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</si>
  <si>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</si>
  <si>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</si>
  <si>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</si>
  <si>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</si>
  <si>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</si>
  <si>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</si>
  <si>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</si>
  <si>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</si>
  <si>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</si>
  <si>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</si>
  <si>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</si>
  <si>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</si>
  <si>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</si>
  <si>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</si>
  <si>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</si>
  <si>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</si>
  <si>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</si>
  <si>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</si>
  <si>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</si>
  <si>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</si>
  <si>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</si>
  <si>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</si>
  <si>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</si>
  <si>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</si>
  <si>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</si>
  <si>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</si>
  <si>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</si>
  <si>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</si>
  <si>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</si>
  <si>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</si>
  <si>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</si>
  <si>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</si>
  <si>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</si>
  <si>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</si>
  <si>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</si>
  <si>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</si>
  <si>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</si>
  <si>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</si>
  <si>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</si>
  <si>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</si>
  <si>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</si>
  <si>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</si>
  <si>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</si>
  <si>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</si>
  <si>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</si>
  <si>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</si>
  <si>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</si>
  <si>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</si>
  <si>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</si>
  <si>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</si>
  <si>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</si>
  <si>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</si>
  <si>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</si>
  <si>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</si>
  <si>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</si>
  <si>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</si>
  <si>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</si>
  <si>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</si>
  <si>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</si>
  <si>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</si>
  <si>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</si>
  <si>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</si>
  <si>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</si>
  <si>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</si>
  <si>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</si>
  <si>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</si>
  <si>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</si>
  <si>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</si>
  <si>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</si>
  <si>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</si>
  <si>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</si>
  <si>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</si>
  <si>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</si>
  <si>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</si>
  <si>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</si>
  <si>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</si>
  <si>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</si>
  <si>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</si>
  <si>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</si>
  <si>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</si>
  <si>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</si>
  <si>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</si>
  <si>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</si>
  <si>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</si>
  <si>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</si>
  <si>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</si>
  <si>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</si>
  <si>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</si>
  <si>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</si>
  <si>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</si>
  <si>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</si>
  <si>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</si>
  <si>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</si>
  <si>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</si>
  <si>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</si>
  <si>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</si>
  <si>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</si>
  <si>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</si>
  <si>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</si>
  <si>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</si>
  <si>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</si>
  <si>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</si>
  <si>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</si>
  <si>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</si>
  <si>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</si>
  <si>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</si>
  <si>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</si>
  <si>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</si>
  <si>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</si>
  <si>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</si>
  <si>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</si>
  <si>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</si>
  <si>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</si>
  <si>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</si>
  <si>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</si>
  <si>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</si>
  <si>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</si>
  <si>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</si>
  <si>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</si>
  <si>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</si>
  <si>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</si>
  <si>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</si>
  <si>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</si>
  <si>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</si>
  <si>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</si>
  <si>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</si>
  <si>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</si>
  <si>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</si>
  <si>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</si>
  <si>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</si>
  <si>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</si>
  <si>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</si>
  <si>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</si>
  <si>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</si>
  <si>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</si>
  <si>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</si>
  <si>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</si>
  <si>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</si>
  <si>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</si>
  <si>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</si>
  <si>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</si>
  <si>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</si>
  <si>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</si>
  <si>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</si>
  <si>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</si>
  <si>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</si>
  <si>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</si>
  <si>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</si>
  <si>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</si>
  <si>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</si>
  <si>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</si>
  <si>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</si>
  <si>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</si>
  <si>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</si>
  <si>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</si>
  <si>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</si>
  <si>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</si>
  <si>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</si>
  <si>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</si>
  <si>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</si>
  <si>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</si>
  <si>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</si>
  <si>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</si>
  <si>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</si>
  <si>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</si>
  <si>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</si>
  <si>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</si>
  <si>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</si>
  <si>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</si>
  <si>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</si>
  <si>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</si>
  <si>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</si>
  <si>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</si>
  <si>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</si>
  <si>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</si>
  <si>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</si>
  <si>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</si>
  <si>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</si>
  <si>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</si>
  <si>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</si>
  <si>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</si>
  <si>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</si>
  <si>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</si>
  <si>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</si>
  <si>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</si>
  <si>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</si>
  <si>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</si>
  <si>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</si>
  <si>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</si>
  <si>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</si>
  <si>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</si>
  <si>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</si>
  <si>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</si>
  <si>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</si>
  <si>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</si>
  <si>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</si>
  <si>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</si>
  <si>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</si>
  <si>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</si>
  <si>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</si>
  <si>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</si>
  <si>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</si>
  <si>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</si>
  <si>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</si>
  <si>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</si>
  <si>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</si>
  <si>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</si>
  <si>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</si>
  <si>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</si>
  <si>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</si>
  <si>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</si>
  <si>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</si>
  <si>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</si>
  <si>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</si>
  <si>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</si>
  <si>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</si>
  <si>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</si>
  <si>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</si>
  <si>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</si>
  <si>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</si>
  <si>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</si>
  <si>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</si>
  <si>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</si>
  <si>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</si>
  <si>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</si>
  <si>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</si>
  <si>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</si>
  <si>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</si>
  <si>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</si>
  <si>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</si>
  <si>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</si>
  <si>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</si>
  <si>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</si>
  <si>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</si>
  <si>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</si>
  <si>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</si>
  <si>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</si>
  <si>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</si>
  <si>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</si>
  <si>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</si>
  <si>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</si>
  <si>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</si>
  <si>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</si>
  <si>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</si>
  <si>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</si>
  <si>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</si>
  <si>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</si>
  <si>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</si>
  <si>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</si>
  <si>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</si>
  <si>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</si>
  <si>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</si>
  <si>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</si>
  <si>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</si>
  <si>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</si>
  <si>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</si>
  <si>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</si>
  <si>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</si>
  <si>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</si>
  <si>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</si>
  <si>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</si>
  <si>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</si>
  <si>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</si>
  <si>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</si>
  <si>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</si>
  <si>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</si>
  <si>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</si>
  <si>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</si>
  <si>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</si>
  <si>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</si>
  <si>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</si>
  <si>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</si>
  <si>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</si>
  <si>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</si>
  <si>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</si>
  <si>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</si>
  <si>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</si>
  <si>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</si>
  <si>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</si>
  <si>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</si>
  <si>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</si>
  <si>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</si>
  <si>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</si>
  <si>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</si>
  <si>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</si>
  <si>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</si>
  <si>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</si>
  <si>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</si>
  <si>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</si>
  <si>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</si>
  <si>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</si>
  <si>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</si>
  <si>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</si>
  <si>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</si>
  <si>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</si>
  <si>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</si>
  <si>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</si>
  <si>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</si>
  <si>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</si>
  <si>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</si>
  <si>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</si>
  <si>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</si>
  <si>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</si>
  <si>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</si>
  <si>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</si>
  <si>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</si>
  <si>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</si>
  <si>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</si>
  <si>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</si>
  <si>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</si>
  <si>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</si>
  <si>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</si>
  <si>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</si>
  <si>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</si>
  <si>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</si>
  <si>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</si>
  <si>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</si>
  <si>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</si>
  <si>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</si>
  <si>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</si>
  <si>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</si>
  <si>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</si>
  <si>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</si>
  <si>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</si>
  <si>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</si>
  <si>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</si>
  <si>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</si>
  <si>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</si>
  <si>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</si>
  <si>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</si>
  <si>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</si>
  <si>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</si>
  <si>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</si>
  <si>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</si>
  <si>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</si>
  <si>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</si>
  <si>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</si>
  <si>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</si>
  <si>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</si>
  <si>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</si>
  <si>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</si>
  <si>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</si>
  <si>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</si>
  <si>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</si>
  <si>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</si>
  <si>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</si>
  <si>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</si>
  <si>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</si>
  <si>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</si>
  <si>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</si>
  <si>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</si>
  <si>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</si>
  <si>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</si>
  <si>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</si>
  <si>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</si>
  <si>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</si>
  <si>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</si>
  <si>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</si>
  <si>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</si>
  <si>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</si>
  <si>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</si>
  <si>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</si>
  <si>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</si>
  <si>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</si>
  <si>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</si>
  <si>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</si>
  <si>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</si>
  <si>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</si>
  <si>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</si>
  <si>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</si>
  <si>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</si>
  <si>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</si>
  <si>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</si>
  <si>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</si>
  <si>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</si>
  <si>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</si>
  <si>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</si>
  <si>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</si>
  <si>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</si>
  <si>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</si>
  <si>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</si>
  <si>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</si>
  <si>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</si>
  <si>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</si>
  <si>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</si>
  <si>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</si>
  <si>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</si>
  <si>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</si>
  <si>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</si>
  <si>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</si>
  <si>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</si>
  <si>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</si>
  <si>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</si>
  <si>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</si>
  <si>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</si>
  <si>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</si>
  <si>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</si>
  <si>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</si>
  <si>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</si>
  <si>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</si>
  <si>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</si>
  <si>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</si>
  <si>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</si>
  <si>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</si>
  <si>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</si>
  <si>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</si>
  <si>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</si>
  <si>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</si>
  <si>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</si>
  <si>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</si>
  <si>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</si>
  <si>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</si>
  <si>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</si>
  <si>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</si>
  <si>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</si>
  <si>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</si>
  <si>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</si>
  <si>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</si>
  <si>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</si>
  <si>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</si>
  <si>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</si>
  <si>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</si>
  <si>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</si>
  <si>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</si>
  <si>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</si>
  <si>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</si>
  <si>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</si>
  <si>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</si>
  <si>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</si>
  <si>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</si>
  <si>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</si>
  <si>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</si>
  <si>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</si>
  <si>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</si>
  <si>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</si>
  <si>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</si>
  <si>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</si>
  <si>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</si>
  <si>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</si>
  <si>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</si>
  <si>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</si>
  <si>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</si>
  <si>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</si>
  <si>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</si>
  <si>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</si>
  <si>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</si>
  <si>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</si>
  <si>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</si>
  <si>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</si>
  <si>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</si>
  <si>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</si>
  <si>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</si>
  <si>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</si>
  <si>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</si>
  <si>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</si>
  <si>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</si>
  <si>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</si>
  <si>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</si>
  <si>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</si>
  <si>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</si>
  <si>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</si>
  <si>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</si>
  <si>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</si>
  <si>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</si>
  <si>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</si>
  <si>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</si>
  <si>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</si>
  <si>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</si>
  <si>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</si>
  <si>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</si>
  <si>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</si>
  <si>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</si>
  <si>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</si>
  <si>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</si>
  <si>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</si>
  <si>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</si>
  <si>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</si>
  <si>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</si>
  <si>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</si>
  <si>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</si>
  <si>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</si>
  <si>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</si>
  <si>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</si>
  <si>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</si>
  <si>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</si>
  <si>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</si>
  <si>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</si>
  <si>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</si>
  <si>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</si>
  <si>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</si>
  <si>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</si>
  <si>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</si>
  <si>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</si>
  <si>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</si>
  <si>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</si>
  <si>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</si>
  <si>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</si>
  <si>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</si>
  <si>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</si>
  <si>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</si>
  <si>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</si>
  <si>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</si>
  <si>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</si>
  <si>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</si>
  <si>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</si>
  <si>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</si>
  <si>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</si>
  <si>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</si>
  <si>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</si>
  <si>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</si>
  <si>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</si>
  <si>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</si>
  <si>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</si>
  <si>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</si>
  <si>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</si>
  <si>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</si>
  <si>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</si>
  <si>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</si>
  <si>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</si>
  <si>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</si>
  <si>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</si>
  <si>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</si>
  <si>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</si>
  <si>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</si>
  <si>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</si>
  <si>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</si>
  <si>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</si>
  <si>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</si>
  <si>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</si>
  <si>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</si>
  <si>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</si>
  <si>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</si>
  <si>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</si>
  <si>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</si>
  <si>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</si>
  <si>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</si>
  <si>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</si>
  <si>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</si>
  <si>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</si>
  <si>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</si>
  <si>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</si>
  <si>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</si>
  <si>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</si>
  <si>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</si>
  <si>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</si>
  <si>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</si>
  <si>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</si>
  <si>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</si>
  <si>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</si>
  <si>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</si>
  <si>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</si>
  <si>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</si>
  <si>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</si>
  <si>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</si>
  <si>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</si>
  <si>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</si>
  <si>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</si>
  <si>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</si>
  <si>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</si>
  <si>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</si>
  <si>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</si>
  <si>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</si>
  <si>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</si>
  <si>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</si>
  <si>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</si>
  <si>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</si>
  <si>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</si>
  <si>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</si>
  <si>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</si>
  <si>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</si>
  <si>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</si>
  <si>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</si>
  <si>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</si>
  <si>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</si>
  <si>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</si>
  <si>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</si>
  <si>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</si>
  <si>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</si>
  <si>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</si>
  <si>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</si>
  <si>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</si>
  <si>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</si>
  <si>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</si>
  <si>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</si>
  <si>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</si>
  <si>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</si>
  <si>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</si>
  <si>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</si>
  <si>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</si>
  <si>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</si>
  <si>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</si>
  <si>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</si>
  <si>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</si>
  <si>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</si>
  <si>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</si>
  <si>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</si>
  <si>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</si>
  <si>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</si>
  <si>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</si>
  <si>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</si>
  <si>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</si>
  <si>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</si>
  <si>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</si>
  <si>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</si>
  <si>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</si>
  <si>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</si>
  <si>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</si>
  <si>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</si>
  <si>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</si>
  <si>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</si>
  <si>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</si>
  <si>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</si>
  <si>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</si>
  <si>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</si>
  <si>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</si>
  <si>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</si>
  <si>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</si>
  <si>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</si>
  <si>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</si>
  <si>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</si>
  <si>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</si>
  <si>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</si>
  <si>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</si>
  <si>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</si>
  <si>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</si>
  <si>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</si>
  <si>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</si>
  <si>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</si>
  <si>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</si>
  <si>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</si>
  <si>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</si>
  <si>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</si>
  <si>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</si>
  <si>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</si>
  <si>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</si>
  <si>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</si>
  <si>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</si>
  <si>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</si>
  <si>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</si>
  <si>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</si>
  <si>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</si>
  <si>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</si>
  <si>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</si>
  <si>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</si>
  <si>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</si>
  <si>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</si>
  <si>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</si>
  <si>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</si>
  <si>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</si>
  <si>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</si>
  <si>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</si>
  <si>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</si>
  <si>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</si>
  <si>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</si>
  <si>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</si>
  <si>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</si>
  <si>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</si>
  <si>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</si>
  <si>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</si>
  <si>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</si>
  <si>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</si>
  <si>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</si>
  <si>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</si>
  <si>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</si>
  <si>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</si>
  <si>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</si>
  <si>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</si>
  <si>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</si>
  <si>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</si>
  <si>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</si>
  <si>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</si>
  <si>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</si>
  <si>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</si>
  <si>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</si>
  <si>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</si>
  <si>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</si>
  <si>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</si>
  <si>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</si>
  <si>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</si>
  <si>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</si>
  <si>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</si>
  <si>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</si>
  <si>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</si>
  <si>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</si>
  <si>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</si>
  <si>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</si>
  <si>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</si>
  <si>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</si>
  <si>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</si>
  <si>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</si>
  <si>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</si>
  <si>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</si>
  <si>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</si>
  <si>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</si>
  <si>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</si>
  <si>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</si>
  <si>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</si>
  <si>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</si>
  <si>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</si>
  <si>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</si>
  <si>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</si>
  <si>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</si>
  <si>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</si>
  <si>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</si>
  <si>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</si>
  <si>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</si>
  <si>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</si>
  <si>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</si>
  <si>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</si>
  <si>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</si>
  <si>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</si>
  <si>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</si>
  <si>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</si>
  <si>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</si>
  <si>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</si>
  <si>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</si>
  <si>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</si>
  <si>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</si>
  <si>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</si>
  <si>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</si>
  <si>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</si>
  <si>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</si>
  <si>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</si>
  <si>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</si>
  <si>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</si>
  <si>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</si>
  <si>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</si>
  <si>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</si>
  <si>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</si>
  <si>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</si>
  <si>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</si>
  <si>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</si>
  <si>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</si>
  <si>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</si>
  <si>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</si>
  <si>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</si>
  <si>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</si>
  <si>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</si>
  <si>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</si>
  <si>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</si>
  <si>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</si>
  <si>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</si>
  <si>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</si>
  <si>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</si>
  <si>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</si>
  <si>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</si>
  <si>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</si>
  <si>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</si>
  <si>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</si>
  <si>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</si>
  <si>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</si>
  <si>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</si>
  <si>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</si>
  <si>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</si>
  <si>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</si>
  <si>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</si>
  <si>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</si>
  <si>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</si>
  <si>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</si>
  <si>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</si>
  <si>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</si>
  <si>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</si>
  <si>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</si>
  <si>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</si>
  <si>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</si>
  <si>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</si>
  <si>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</si>
  <si>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</si>
  <si>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</si>
  <si>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</si>
  <si>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</si>
  <si>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</si>
  <si>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</si>
  <si>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</si>
  <si>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</si>
  <si>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</si>
  <si>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</si>
  <si>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</si>
  <si>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</si>
  <si>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</si>
  <si>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</si>
  <si>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</si>
  <si>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</si>
  <si>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</si>
  <si>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</si>
  <si>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</si>
  <si>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</si>
  <si>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</si>
  <si>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</si>
  <si>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</si>
  <si>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</si>
  <si>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</si>
  <si>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</si>
  <si>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</si>
  <si>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</si>
  <si>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</si>
  <si>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</si>
  <si>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</si>
  <si>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</si>
  <si>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</si>
  <si>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</si>
  <si>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</si>
  <si>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</si>
  <si>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</si>
  <si>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</si>
  <si>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</si>
  <si>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</si>
  <si>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</si>
  <si>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</si>
  <si>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</si>
  <si>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</si>
  <si>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</si>
  <si>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</si>
  <si>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</si>
  <si>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</si>
  <si>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</si>
  <si>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</si>
  <si>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</si>
  <si>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</si>
  <si>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</si>
  <si>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</si>
  <si>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</si>
  <si>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</si>
  <si>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</si>
  <si>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</si>
  <si>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</si>
  <si>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</si>
  <si>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</si>
  <si>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</si>
  <si>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</si>
  <si>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</si>
  <si>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</si>
  <si>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</si>
  <si>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</si>
  <si>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</si>
  <si>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</si>
  <si>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</si>
  <si>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</si>
  <si>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</si>
  <si>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</si>
  <si>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</si>
  <si>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</si>
  <si>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</si>
  <si>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</si>
  <si>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</si>
  <si>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</si>
  <si>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</si>
  <si>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</si>
  <si>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</si>
  <si>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</si>
  <si>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</si>
  <si>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</si>
  <si>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</si>
  <si>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</si>
  <si>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</si>
  <si>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</si>
  <si>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</si>
  <si>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</si>
  <si>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</si>
  <si>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</si>
  <si>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</si>
  <si>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</si>
  <si>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</si>
  <si>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</si>
  <si>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</si>
  <si>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</si>
  <si>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</si>
  <si>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</si>
  <si>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</si>
  <si>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</si>
  <si>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</si>
  <si>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</si>
  <si>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</si>
  <si>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</si>
  <si>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</si>
  <si>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</si>
  <si>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</si>
  <si>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</si>
  <si>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</si>
  <si>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</si>
  <si>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</si>
  <si>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</si>
  <si>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</si>
  <si>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</si>
  <si>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</si>
  <si>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</si>
  <si>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</si>
  <si>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</si>
  <si>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</si>
  <si>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</si>
  <si>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</si>
  <si>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</si>
  <si>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</si>
  <si>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</si>
  <si>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</si>
  <si>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</si>
  <si>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</si>
  <si>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</si>
  <si>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</si>
  <si>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</si>
  <si>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</si>
  <si>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</si>
  <si>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</si>
  <si>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</si>
  <si>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</si>
  <si>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</si>
  <si>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</si>
  <si>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</si>
  <si>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</si>
  <si>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</si>
  <si>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</si>
  <si>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</si>
  <si>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</si>
  <si>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</si>
  <si>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</si>
  <si>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</si>
  <si>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</si>
  <si>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</si>
  <si>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</si>
  <si>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</si>
  <si>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</si>
  <si>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</si>
  <si>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</si>
  <si>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</si>
  <si>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</si>
  <si>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</si>
  <si>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</si>
  <si>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</si>
  <si>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</si>
  <si>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</si>
  <si>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</si>
  <si>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</si>
  <si>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</si>
  <si>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</si>
  <si>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</si>
  <si>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</si>
  <si>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</si>
  <si>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</si>
  <si>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</si>
  <si>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</si>
  <si>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</si>
  <si>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</si>
  <si>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</si>
  <si>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</si>
  <si>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</si>
  <si>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</si>
  <si>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</si>
  <si>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</si>
  <si>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</si>
  <si>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</si>
  <si>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</si>
  <si>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</si>
  <si>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</si>
  <si>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</si>
  <si>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</si>
  <si>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</si>
  <si>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</si>
  <si>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</si>
  <si>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</si>
  <si>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</si>
  <si>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</si>
  <si>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</si>
  <si>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</si>
  <si>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</si>
  <si>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</si>
  <si>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</si>
  <si>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</si>
  <si>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</si>
  <si>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</si>
  <si>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</si>
  <si>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</si>
  <si>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</si>
  <si>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</si>
  <si>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</si>
  <si>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</si>
  <si>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</si>
  <si>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</si>
  <si>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</si>
  <si>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</si>
  <si>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</si>
  <si>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</si>
  <si>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</si>
  <si>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</si>
  <si>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</si>
  <si>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</si>
  <si>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</si>
  <si>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</si>
  <si>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</si>
  <si>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</si>
  <si>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</si>
  <si>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</si>
  <si>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</si>
  <si>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</si>
  <si>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</si>
  <si>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</si>
  <si>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</si>
  <si>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</si>
  <si>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</si>
  <si>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</si>
  <si>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</si>
  <si>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</si>
  <si>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</si>
  <si>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</si>
  <si>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</si>
  <si>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</si>
  <si>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</si>
  <si>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</si>
  <si>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</si>
  <si>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</si>
  <si>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</si>
  <si>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</si>
  <si>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</si>
  <si>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</si>
  <si>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</si>
  <si>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</si>
  <si>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</si>
  <si>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</si>
  <si>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</si>
  <si>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</si>
  <si>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</si>
  <si>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</si>
  <si>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</si>
  <si>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</si>
  <si>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</si>
  <si>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</si>
  <si>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</si>
  <si>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</si>
  <si>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</si>
  <si>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</si>
  <si>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</si>
  <si>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</si>
  <si>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</si>
  <si>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</si>
  <si>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</si>
  <si>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</si>
  <si>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</si>
  <si>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</si>
  <si>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</si>
  <si>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</si>
  <si>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</si>
  <si>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</si>
  <si>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</si>
  <si>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</si>
  <si>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</si>
  <si>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</si>
  <si>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</si>
  <si>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</si>
  <si>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</si>
  <si>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</si>
  <si>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</si>
  <si>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</si>
  <si>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</si>
  <si>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</si>
  <si>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</si>
  <si>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</si>
  <si>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</si>
  <si>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</si>
  <si>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</si>
  <si>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</si>
  <si>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</si>
  <si>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</si>
  <si>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</si>
  <si>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</si>
  <si>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</si>
  <si>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</si>
  <si>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</si>
  <si>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</si>
  <si>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</si>
  <si>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</si>
  <si>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</si>
  <si>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</si>
  <si>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</si>
  <si>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</si>
  <si>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</si>
  <si>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</si>
  <si>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</si>
  <si>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</si>
  <si>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</si>
  <si>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</si>
  <si>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</si>
  <si>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</si>
  <si>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</si>
  <si>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</si>
  <si>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</si>
  <si>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</si>
  <si>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</si>
  <si>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</si>
  <si>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</si>
  <si>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</si>
  <si>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</si>
  <si>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</si>
  <si>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</si>
  <si>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</si>
  <si>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</si>
  <si>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</si>
  <si>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</si>
  <si>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</si>
  <si>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</si>
  <si>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</si>
  <si>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</si>
  <si>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</si>
  <si>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</si>
  <si>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</si>
  <si>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</si>
  <si>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</si>
  <si>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</si>
  <si>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</si>
  <si>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</si>
  <si>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</si>
  <si>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</si>
  <si>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</si>
  <si>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</si>
  <si>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</si>
  <si>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</si>
  <si>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</si>
  <si>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</si>
  <si>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</si>
  <si>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</si>
  <si>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</si>
  <si>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</si>
  <si>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</si>
  <si>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</si>
  <si>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</si>
  <si>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</si>
  <si>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</si>
  <si>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</si>
  <si>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</si>
  <si>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</si>
  <si>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</si>
  <si>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</si>
  <si>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</si>
  <si>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</si>
  <si>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</si>
  <si>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</si>
  <si>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</si>
  <si>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</si>
  <si>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</si>
  <si>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</si>
  <si>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</si>
  <si>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</si>
  <si>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</si>
  <si>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</si>
  <si>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</si>
  <si>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</si>
  <si>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</si>
  <si>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</si>
  <si>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</si>
  <si>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</si>
  <si>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</si>
  <si>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</si>
  <si>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</si>
  <si>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</si>
  <si>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</si>
  <si>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</si>
  <si>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</si>
  <si>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</si>
  <si>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</si>
  <si>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</si>
  <si>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</si>
  <si>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</si>
  <si>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</si>
  <si>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</si>
  <si>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</si>
  <si>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</si>
  <si>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</si>
  <si>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</si>
  <si>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</si>
  <si>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</si>
  <si>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</si>
  <si>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</si>
  <si>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</si>
  <si>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</si>
  <si>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</si>
  <si>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</si>
  <si>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</si>
  <si>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</si>
  <si>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</si>
  <si>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</si>
  <si>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</si>
  <si>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</si>
  <si>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</si>
  <si>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</si>
  <si>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</si>
  <si>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</si>
  <si>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</si>
  <si>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</si>
  <si>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</si>
  <si>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</si>
  <si>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</si>
  <si>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</si>
  <si>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</si>
  <si>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</si>
  <si>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</si>
  <si>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</si>
  <si>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</si>
  <si>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</si>
  <si>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</si>
  <si>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</si>
  <si>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</si>
  <si>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</si>
  <si>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</si>
  <si>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</si>
  <si>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</si>
  <si>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</si>
  <si>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</si>
  <si>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</si>
  <si>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</si>
  <si>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</si>
  <si>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</si>
  <si>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</si>
  <si>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</si>
  <si>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</si>
  <si>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</si>
  <si>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</si>
  <si>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</si>
  <si>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</si>
  <si>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</si>
  <si>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</si>
  <si>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</si>
  <si>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</si>
  <si>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</si>
  <si>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</si>
  <si>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</si>
  <si>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</si>
  <si>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</si>
  <si>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</si>
  <si>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</si>
  <si>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</si>
  <si>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</si>
  <si>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</si>
  <si>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</si>
  <si>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</si>
  <si>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</si>
  <si>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</si>
  <si>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</si>
  <si>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</si>
  <si>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</si>
  <si>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</si>
  <si>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</si>
  <si>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</si>
  <si>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</si>
  <si>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</si>
  <si>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</si>
  <si>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</si>
  <si>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</si>
  <si>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</si>
  <si>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</si>
  <si>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</si>
  <si>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</si>
  <si>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</si>
  <si>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</si>
  <si>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</si>
  <si>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</si>
  <si>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</si>
  <si>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</si>
  <si>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</si>
  <si>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</si>
  <si>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</si>
  <si>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</si>
  <si>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</si>
  <si>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</si>
  <si>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</si>
  <si>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</si>
  <si>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</si>
  <si>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</si>
  <si>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</si>
  <si>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</si>
  <si>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</si>
  <si>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</si>
  <si>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</si>
  <si>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</si>
  <si>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</si>
  <si>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</si>
  <si>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</si>
  <si>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</si>
  <si>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</si>
  <si>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</si>
  <si>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</si>
  <si>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</si>
  <si>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</si>
  <si>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</si>
  <si>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</si>
  <si>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</si>
  <si>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</si>
  <si>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</si>
  <si>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</si>
  <si>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</si>
  <si>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</si>
  <si>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</si>
  <si>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</si>
  <si>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</si>
  <si>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</si>
  <si>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</si>
  <si>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</si>
  <si>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</si>
  <si>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</si>
  <si>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</si>
  <si>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</si>
  <si>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</si>
  <si>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</si>
  <si>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</si>
  <si>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</si>
  <si>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</si>
  <si>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</si>
  <si>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</si>
  <si>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</si>
  <si>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</si>
  <si>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</si>
  <si>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</si>
  <si>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</si>
  <si>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</si>
  <si>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</si>
  <si>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</si>
  <si>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</si>
  <si>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</si>
  <si>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</si>
  <si>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</si>
  <si>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</si>
  <si>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</si>
  <si>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</si>
  <si>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</si>
  <si>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</si>
  <si>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</si>
  <si>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</si>
  <si>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</si>
  <si>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</si>
  <si>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</si>
  <si>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</si>
  <si>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</si>
  <si>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</si>
  <si>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</si>
  <si>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</si>
  <si>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</si>
  <si>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</si>
  <si>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</si>
  <si>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</si>
  <si>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</si>
  <si>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</si>
  <si>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</si>
  <si>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</si>
  <si>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</si>
  <si>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</si>
  <si>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</si>
  <si>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</si>
  <si>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</si>
  <si>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</si>
  <si>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</si>
  <si>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</si>
  <si>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</si>
  <si>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</si>
  <si>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</si>
  <si>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</si>
  <si>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</si>
  <si>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</si>
  <si>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</si>
  <si>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</si>
  <si>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</si>
  <si>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</si>
  <si>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</si>
  <si>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</si>
  <si>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</si>
  <si>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</si>
  <si>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</si>
  <si>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</si>
  <si>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</si>
  <si>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</si>
  <si>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</si>
  <si>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</si>
  <si>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</si>
  <si>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</si>
  <si>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</si>
  <si>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</si>
  <si>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</si>
  <si>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</si>
  <si>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</si>
  <si>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</si>
  <si>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</si>
  <si>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</si>
  <si>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</si>
  <si>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</si>
  <si>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</si>
  <si>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</si>
  <si>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</si>
  <si>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</si>
  <si>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</si>
  <si>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</si>
  <si>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</si>
  <si>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</si>
  <si>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</si>
  <si>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</si>
  <si>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</si>
  <si>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</si>
  <si>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</si>
  <si>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</si>
  <si>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</si>
  <si>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</si>
  <si>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</si>
  <si>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</si>
  <si>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</si>
  <si>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</si>
  <si>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</si>
  <si>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</si>
  <si>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</si>
  <si>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</si>
  <si>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</si>
  <si>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</si>
  <si>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</si>
  <si>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</si>
  <si>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</si>
  <si>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</si>
  <si>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</si>
  <si>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</si>
  <si>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</si>
  <si>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</si>
  <si>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</si>
  <si>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</si>
  <si>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</si>
  <si>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</si>
  <si>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</si>
  <si>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</si>
  <si>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</si>
  <si>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</si>
  <si>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</si>
  <si>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</si>
  <si>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</si>
  <si>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</si>
  <si>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</si>
  <si>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</si>
  <si>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</si>
  <si>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</si>
  <si>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</si>
  <si>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</si>
  <si>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</si>
  <si>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</si>
  <si>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</si>
  <si>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</si>
  <si>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</si>
  <si>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</si>
  <si>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</si>
  <si>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</si>
  <si>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</si>
  <si>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</si>
  <si>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</si>
  <si>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</si>
  <si>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</si>
  <si>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</si>
  <si>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</si>
  <si>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</si>
  <si>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</si>
  <si>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</si>
  <si>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</si>
  <si>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</si>
  <si>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</si>
  <si>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</si>
  <si>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</si>
  <si>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</si>
  <si>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</si>
  <si>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</si>
  <si>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</si>
  <si>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</si>
  <si>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</si>
  <si>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</si>
  <si>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</si>
  <si>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</si>
  <si>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</si>
  <si>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</si>
  <si>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</si>
  <si>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</si>
  <si>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</si>
  <si>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</si>
  <si>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</si>
  <si>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</si>
  <si>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</si>
  <si>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</si>
  <si>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</si>
  <si>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</si>
  <si>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</si>
  <si>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</si>
  <si>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</si>
  <si>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</si>
  <si>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</si>
  <si>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</si>
  <si>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</si>
  <si>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</si>
  <si>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</si>
  <si>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</si>
  <si>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</si>
  <si>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</si>
  <si>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</si>
  <si>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</si>
  <si>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</si>
  <si>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</si>
  <si>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</si>
  <si>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</si>
  <si>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</si>
  <si>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</si>
  <si>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</si>
  <si>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</si>
  <si>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</si>
  <si>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</si>
  <si>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</si>
  <si>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</si>
  <si>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</si>
  <si>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</si>
  <si>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</si>
  <si>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</si>
  <si>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</si>
  <si>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</si>
  <si>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</si>
  <si>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</si>
  <si>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</si>
  <si>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</si>
  <si>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</si>
  <si>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</si>
  <si>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</si>
  <si>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</si>
  <si>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</si>
  <si>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</si>
  <si>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</si>
  <si>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</si>
  <si>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</si>
  <si>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</si>
  <si>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</si>
  <si>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</si>
  <si>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</si>
  <si>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</si>
  <si>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</si>
  <si>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</si>
  <si>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</si>
  <si>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</si>
  <si>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</si>
  <si>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</si>
  <si>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</si>
  <si>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</si>
  <si>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</si>
  <si>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</si>
  <si>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</si>
  <si>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</si>
  <si>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</si>
  <si>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</si>
  <si>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</si>
  <si>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</si>
  <si>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</si>
  <si>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</si>
  <si>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</si>
  <si>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</si>
  <si>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</si>
  <si>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</si>
  <si>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</si>
  <si>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</si>
  <si>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</si>
  <si>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</si>
  <si>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</si>
  <si>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</si>
  <si>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</si>
  <si>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</si>
  <si>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</si>
  <si>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</si>
  <si>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</si>
  <si>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</si>
  <si>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</si>
  <si>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</si>
  <si>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</si>
  <si>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</si>
  <si>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</si>
  <si>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</si>
  <si>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</si>
  <si>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</si>
  <si>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</si>
  <si>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</si>
  <si>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</si>
  <si>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</si>
  <si>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</si>
  <si>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</si>
  <si>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</si>
  <si>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</si>
  <si>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</si>
  <si>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</si>
  <si>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</si>
  <si>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</si>
  <si>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</si>
  <si>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</si>
  <si>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</si>
  <si>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</si>
  <si>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</si>
  <si>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</si>
  <si>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</si>
  <si>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</si>
  <si>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</si>
  <si>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</si>
  <si>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</si>
  <si>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</si>
  <si>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</si>
  <si>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</si>
  <si>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</si>
  <si>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</si>
  <si>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</si>
  <si>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</si>
  <si>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</si>
  <si>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</si>
  <si>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</si>
  <si>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</si>
  <si>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</si>
  <si>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</si>
  <si>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</si>
  <si>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</si>
  <si>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</si>
  <si>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</si>
  <si>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</si>
  <si>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</si>
  <si>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</si>
  <si>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</si>
  <si>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</si>
  <si>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</si>
  <si>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</si>
  <si>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</si>
  <si>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</si>
  <si>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</si>
  <si>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</si>
  <si>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</si>
  <si>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</si>
  <si>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</si>
  <si>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</si>
  <si>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</si>
  <si>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</si>
  <si>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</si>
  <si>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</si>
  <si>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</si>
  <si>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</si>
  <si>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</si>
  <si>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</si>
  <si>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</si>
  <si>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</si>
  <si>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</si>
  <si>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</si>
  <si>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</si>
  <si>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</si>
  <si>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</si>
  <si>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</si>
  <si>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</si>
  <si>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</si>
  <si>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</si>
  <si>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</si>
  <si>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</si>
  <si>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</si>
  <si>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</si>
  <si>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</si>
  <si>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</si>
  <si>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</si>
  <si>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</si>
  <si>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</si>
  <si>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</si>
  <si>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</si>
  <si>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</si>
  <si>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</si>
  <si>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</si>
  <si>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</si>
  <si>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</si>
  <si>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</si>
  <si>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</si>
  <si>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</si>
  <si>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</si>
  <si>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</si>
  <si>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</si>
  <si>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</si>
  <si>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</si>
  <si>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</si>
  <si>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</si>
  <si>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</si>
  <si>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</si>
  <si>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</si>
  <si>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</si>
  <si>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</si>
  <si>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</si>
  <si>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</si>
  <si>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</si>
  <si>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</si>
  <si>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</si>
  <si>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</si>
  <si>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</si>
  <si>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</si>
  <si>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</si>
  <si>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</si>
  <si>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</si>
  <si>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</si>
  <si>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</si>
  <si>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</si>
  <si>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</si>
  <si>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</si>
  <si>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</si>
  <si>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</si>
  <si>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</si>
  <si>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</si>
  <si>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</si>
  <si>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</si>
  <si>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</si>
  <si>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</si>
  <si>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</si>
  <si>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</si>
  <si>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</si>
  <si>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</si>
  <si>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</si>
  <si>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</si>
  <si>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</si>
  <si>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</si>
  <si>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</si>
  <si>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</si>
  <si>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</si>
  <si>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</si>
  <si>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</si>
  <si>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</si>
  <si>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</si>
  <si>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</si>
  <si>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</si>
  <si>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</si>
  <si>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</si>
  <si>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</si>
  <si>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</si>
  <si>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</si>
  <si>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</si>
  <si>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</si>
  <si>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</si>
  <si>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</si>
  <si>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</si>
  <si>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</si>
  <si>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</si>
  <si>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</si>
  <si>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</si>
  <si>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</si>
  <si>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</si>
  <si>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</si>
  <si>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</si>
  <si>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</si>
  <si>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</si>
  <si>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</si>
  <si>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</si>
  <si>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</si>
  <si>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</si>
  <si>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</si>
  <si>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</si>
  <si>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</si>
  <si>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</si>
  <si>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</si>
  <si>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</si>
  <si>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</si>
  <si>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</si>
  <si>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</si>
  <si>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</si>
  <si>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</si>
  <si>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</si>
  <si>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</si>
  <si>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</si>
  <si>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</si>
  <si>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</si>
  <si>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</si>
  <si>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</si>
  <si>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</si>
  <si>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</si>
  <si>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</si>
  <si>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</si>
  <si>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</si>
  <si>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</si>
  <si>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</si>
  <si>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</si>
  <si>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</si>
  <si>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</si>
  <si>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</si>
  <si>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</si>
  <si>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</si>
  <si>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</si>
  <si>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</si>
  <si>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</si>
  <si>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</si>
  <si>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</si>
  <si>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</si>
  <si>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</si>
  <si>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</si>
  <si>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</si>
  <si>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</si>
  <si>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</si>
  <si>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</si>
  <si>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</si>
  <si>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</si>
  <si>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</si>
  <si>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</si>
  <si>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</si>
  <si>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</si>
  <si>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</si>
  <si>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</si>
  <si>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</si>
  <si>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</si>
  <si>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</si>
  <si>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</si>
  <si>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</si>
  <si>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</si>
  <si>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</si>
  <si>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</si>
  <si>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</si>
  <si>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</si>
  <si>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</si>
  <si>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</si>
  <si>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</si>
  <si>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</si>
  <si>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</si>
  <si>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</si>
  <si>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</si>
  <si>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</si>
  <si>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</si>
  <si>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</si>
  <si>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</si>
  <si>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</si>
  <si>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</si>
  <si>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</si>
  <si>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</si>
  <si>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</si>
  <si>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</si>
  <si>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</si>
  <si>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</si>
  <si>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</si>
  <si>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</si>
  <si>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</si>
  <si>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</si>
  <si>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</si>
  <si>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</si>
  <si>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</si>
  <si>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</si>
  <si>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</si>
  <si>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</si>
  <si>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</si>
  <si>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</si>
  <si>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</si>
  <si>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</si>
  <si>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</si>
  <si>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</si>
  <si>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</si>
  <si>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</si>
  <si>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</si>
  <si>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</si>
  <si>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</si>
  <si>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</si>
  <si>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</si>
  <si>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</si>
  <si>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</si>
  <si>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</si>
  <si>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</si>
  <si>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</si>
  <si>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</si>
  <si>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</si>
  <si>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</si>
  <si>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</si>
  <si>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</si>
  <si>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</si>
  <si>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</si>
  <si>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</si>
  <si>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</si>
  <si>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</si>
  <si>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</si>
  <si>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</si>
  <si>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</si>
  <si>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</si>
  <si>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</si>
  <si>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</si>
  <si>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</si>
  <si>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</si>
  <si>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</si>
  <si>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</si>
  <si>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</si>
  <si>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</si>
  <si>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</si>
  <si>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</si>
  <si>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</si>
  <si>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</si>
  <si>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</si>
  <si>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</si>
  <si>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</si>
  <si>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</si>
  <si>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</si>
  <si>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</si>
  <si>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</si>
  <si>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</si>
  <si>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</si>
  <si>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</si>
  <si>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</si>
  <si>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</si>
  <si>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</si>
  <si>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</si>
  <si>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</si>
  <si>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</si>
  <si>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</si>
  <si>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</si>
  <si>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</si>
  <si>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</si>
  <si>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</si>
  <si>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</si>
  <si>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</si>
  <si>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</si>
  <si>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</si>
  <si>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</si>
  <si>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</si>
  <si>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</si>
  <si>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</si>
  <si>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</si>
  <si>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</si>
  <si>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</si>
  <si>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</si>
  <si>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</si>
  <si>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</si>
  <si>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</si>
  <si>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</si>
  <si>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</si>
  <si>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</si>
  <si>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</si>
  <si>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</si>
  <si>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</si>
  <si>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</si>
  <si>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</si>
  <si>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</si>
  <si>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</si>
  <si>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</si>
  <si>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</si>
  <si>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</si>
  <si>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</si>
  <si>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</si>
  <si>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</si>
  <si>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</si>
  <si>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</si>
  <si>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</si>
  <si>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</si>
  <si>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</si>
  <si>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</si>
  <si>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</si>
  <si>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</si>
  <si>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</si>
  <si>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</si>
  <si>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</si>
  <si>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</si>
  <si>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</si>
  <si>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</si>
  <si>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</si>
  <si>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</si>
  <si>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</si>
  <si>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</si>
  <si>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</si>
  <si>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</si>
  <si>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</si>
  <si>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</si>
  <si>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</si>
  <si>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</si>
  <si>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</si>
  <si>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</si>
  <si>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</si>
  <si>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</si>
  <si>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</si>
  <si>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</si>
  <si>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</si>
  <si>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</si>
  <si>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</si>
  <si>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</si>
  <si>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</si>
  <si>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</si>
  <si>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</si>
  <si>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</si>
  <si>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</si>
  <si>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</si>
  <si>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</si>
  <si>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</si>
  <si>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</si>
  <si>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</si>
  <si>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</si>
  <si>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</si>
  <si>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</si>
  <si>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</si>
  <si>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</si>
  <si>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</si>
  <si>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</si>
  <si>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</si>
  <si>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</si>
  <si>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</si>
  <si>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</si>
  <si>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</si>
  <si>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</si>
  <si>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</si>
  <si>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</si>
  <si>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</si>
  <si>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</si>
  <si>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</si>
  <si>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</si>
  <si>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</si>
  <si>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</si>
  <si>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</si>
  <si>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</si>
  <si>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</si>
  <si>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</si>
  <si>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</si>
  <si>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</si>
  <si>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</si>
  <si>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</si>
  <si>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</si>
  <si>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</si>
  <si>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</si>
  <si>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</si>
  <si>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</si>
  <si>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</si>
  <si>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</si>
  <si>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</si>
  <si>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</si>
  <si>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</si>
  <si>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</si>
  <si>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</si>
  <si>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</si>
  <si>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</si>
  <si>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</si>
  <si>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</si>
  <si>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</si>
  <si>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</si>
  <si>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</si>
  <si>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</si>
  <si>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</si>
  <si>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</si>
  <si>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</si>
  <si>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</si>
  <si>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</si>
  <si>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</si>
  <si>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</si>
  <si>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</si>
  <si>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</si>
  <si>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</si>
  <si>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</si>
  <si>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</si>
  <si>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</si>
  <si>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</si>
  <si>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</si>
  <si>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</si>
  <si>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</si>
  <si>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</si>
  <si>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</si>
  <si>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</si>
  <si>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</si>
  <si>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</si>
  <si>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</si>
  <si>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</si>
  <si>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</si>
  <si>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</si>
  <si>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</si>
  <si>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</si>
  <si>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</si>
  <si>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</si>
  <si>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</si>
  <si>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</si>
  <si>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</si>
  <si>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</si>
  <si>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</si>
  <si>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</si>
  <si>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</si>
  <si>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</si>
  <si>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</si>
  <si>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</si>
  <si>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</si>
  <si>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</si>
  <si>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</si>
  <si>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</si>
  <si>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</si>
  <si>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</si>
  <si>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</si>
  <si>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</si>
  <si>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</si>
  <si>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</si>
  <si>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</si>
  <si>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</si>
  <si>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</si>
  <si>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</si>
  <si>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</si>
  <si>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</si>
  <si>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</si>
  <si>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</si>
  <si>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</si>
  <si>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</si>
  <si>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</si>
  <si>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</si>
  <si>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</si>
  <si>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</si>
  <si>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</si>
  <si>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</si>
  <si>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</si>
  <si>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</si>
  <si>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</si>
  <si>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</si>
  <si>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</si>
  <si>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</si>
  <si>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</si>
  <si>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</si>
  <si>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</si>
  <si>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</si>
  <si>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</si>
  <si>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</si>
  <si>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</si>
  <si>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</si>
  <si>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</si>
  <si>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</si>
  <si>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</si>
  <si>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</si>
  <si>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</si>
  <si>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</si>
  <si>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</si>
  <si>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</si>
  <si>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</si>
  <si>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</si>
  <si>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</si>
  <si>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</si>
  <si>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</si>
  <si>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</si>
  <si>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</si>
  <si>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</si>
  <si>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</si>
  <si>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</si>
  <si>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</si>
  <si>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</si>
  <si>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</si>
  <si>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</si>
  <si>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</si>
  <si>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</si>
  <si>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</si>
  <si>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</si>
  <si>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</si>
  <si>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</si>
  <si>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</si>
  <si>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</si>
  <si>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</si>
  <si>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</si>
  <si>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</si>
  <si>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</si>
  <si>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</si>
  <si>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</si>
  <si>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</si>
  <si>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</si>
  <si>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</si>
  <si>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</si>
  <si>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</si>
  <si>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</si>
  <si>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</si>
  <si>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</si>
  <si>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</si>
  <si>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</si>
  <si>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</si>
  <si>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</si>
  <si>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</si>
  <si>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</si>
  <si>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</si>
  <si>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</si>
  <si>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</si>
  <si>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</si>
  <si>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</si>
  <si>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</si>
  <si>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</si>
  <si>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</si>
  <si>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</si>
  <si>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</si>
  <si>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</si>
  <si>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</si>
  <si>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</si>
  <si>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</si>
  <si>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</si>
  <si>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</si>
  <si>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</si>
  <si>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</si>
  <si>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</si>
  <si>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</si>
  <si>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</si>
  <si>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</si>
  <si>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</si>
  <si>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</si>
  <si>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</si>
  <si>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</si>
  <si>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</si>
  <si>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</si>
  <si>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</si>
  <si>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</si>
  <si>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</si>
  <si>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</si>
  <si>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</si>
  <si>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</si>
  <si>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</si>
  <si>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</si>
  <si>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</si>
  <si>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</si>
  <si>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</si>
  <si>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</si>
  <si>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</si>
  <si>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</si>
  <si>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</si>
  <si>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</si>
  <si>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</si>
  <si>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</si>
  <si>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</si>
  <si>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</si>
  <si>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</si>
  <si>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</si>
  <si>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</si>
  <si>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</si>
  <si>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</si>
  <si>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</si>
  <si>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</si>
  <si>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</si>
  <si>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</si>
  <si>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</si>
  <si>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</si>
  <si>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</si>
  <si>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</si>
  <si>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</si>
  <si>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</si>
  <si>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</si>
  <si>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</si>
  <si>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</si>
  <si>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</si>
  <si>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</si>
  <si>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</si>
  <si>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</si>
  <si>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</si>
  <si>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</si>
  <si>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</si>
  <si>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</si>
  <si>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</si>
  <si>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</si>
  <si>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</si>
  <si>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</si>
  <si>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</si>
  <si>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</si>
  <si>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</si>
  <si>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</si>
  <si>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</si>
  <si>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</si>
  <si>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</si>
  <si>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</si>
  <si>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</si>
  <si>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</si>
  <si>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</si>
  <si>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</si>
  <si>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</si>
  <si>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</si>
  <si>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</si>
  <si>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</si>
  <si>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</si>
  <si>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</si>
  <si>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</si>
  <si>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</si>
  <si>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</si>
  <si>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</si>
  <si>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</si>
  <si>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</si>
  <si>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</si>
  <si>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</si>
  <si>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</si>
  <si>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</si>
  <si>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</si>
  <si>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</si>
  <si>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</si>
  <si>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</si>
  <si>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</si>
  <si>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</si>
  <si>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</si>
  <si>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</si>
  <si>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</si>
  <si>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</si>
  <si>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</si>
  <si>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</si>
  <si>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</si>
  <si>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</si>
  <si>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</si>
  <si>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</si>
  <si>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</si>
  <si>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</si>
  <si>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</si>
  <si>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</si>
  <si>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</si>
  <si>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</si>
  <si>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</si>
  <si>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</si>
  <si>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</si>
  <si>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</si>
  <si>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</si>
  <si>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</si>
  <si>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</si>
  <si>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</si>
  <si>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</si>
  <si>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</si>
  <si>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</si>
  <si>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</si>
  <si>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</si>
  <si>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</si>
  <si>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</si>
  <si>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</si>
  <si>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</si>
  <si>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</si>
  <si>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</si>
  <si>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</si>
  <si>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</si>
  <si>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</si>
  <si>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</si>
  <si>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</si>
  <si>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</si>
  <si>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</si>
  <si>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</si>
  <si>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</si>
  <si>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</si>
  <si>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</si>
  <si>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</si>
  <si>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</si>
  <si>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</si>
  <si>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</si>
  <si>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</si>
  <si>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</si>
  <si>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</si>
  <si>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</si>
  <si>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</si>
  <si>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</si>
  <si>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</si>
  <si>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</si>
  <si>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</si>
  <si>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</si>
  <si>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</si>
  <si>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</si>
  <si>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</si>
  <si>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</si>
  <si>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</si>
  <si>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</si>
  <si>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</si>
  <si>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</si>
  <si>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</si>
  <si>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</si>
  <si>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</si>
  <si>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</si>
  <si>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</si>
  <si>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</si>
  <si>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</si>
  <si>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</si>
  <si>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</si>
  <si>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</si>
  <si>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</si>
  <si>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</si>
  <si>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</si>
  <si>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</si>
  <si>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</si>
  <si>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</si>
  <si>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</si>
  <si>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</si>
  <si>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</si>
  <si>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</si>
  <si>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</si>
  <si>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</si>
  <si>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</si>
  <si>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</si>
  <si>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</si>
  <si>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</si>
  <si>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</si>
  <si>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</si>
  <si>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</si>
  <si>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</si>
  <si>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</si>
  <si>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</si>
  <si>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</si>
  <si>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</si>
  <si>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</si>
  <si>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</si>
  <si>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</si>
  <si>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</si>
  <si>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</si>
  <si>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</si>
  <si>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</si>
  <si>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</si>
  <si>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</si>
  <si>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</si>
  <si>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</si>
  <si>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</si>
  <si>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</si>
  <si>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</si>
  <si>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</si>
  <si>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</si>
  <si>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</si>
  <si>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</si>
  <si>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</si>
  <si>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</si>
  <si>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</si>
  <si>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</si>
  <si>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</si>
  <si>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</si>
  <si>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</si>
  <si>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</si>
  <si>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</si>
  <si>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</si>
  <si>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</si>
  <si>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</si>
  <si>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</si>
  <si>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</si>
  <si>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</si>
  <si>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</si>
  <si>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</si>
  <si>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</si>
  <si>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</si>
  <si>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</si>
  <si>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</si>
  <si>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</si>
  <si>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</si>
  <si>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</si>
  <si>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</si>
  <si>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</si>
  <si>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</si>
  <si>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</si>
  <si>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</si>
  <si>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</si>
  <si>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</si>
  <si>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</si>
  <si>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</si>
  <si>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</si>
  <si>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</si>
  <si>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</si>
  <si>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</si>
  <si>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</si>
  <si>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</si>
  <si>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</si>
  <si>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</si>
  <si>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</si>
  <si>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</si>
  <si>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</si>
  <si>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</si>
  <si>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</si>
  <si>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</si>
  <si>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</si>
  <si>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</si>
  <si>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</si>
  <si>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</si>
  <si>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</si>
  <si>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</si>
  <si>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</si>
  <si>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</si>
  <si>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</si>
  <si>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</si>
  <si>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</si>
  <si>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</si>
  <si>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</si>
  <si>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</si>
  <si>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</si>
  <si>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</si>
  <si>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</si>
  <si>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</si>
  <si>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</si>
  <si>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</si>
  <si>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</si>
  <si>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</si>
  <si>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</si>
  <si>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</si>
  <si>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</si>
  <si>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</si>
  <si>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</si>
  <si>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</si>
  <si>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</si>
  <si>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</si>
  <si>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</si>
  <si>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</si>
  <si>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</si>
  <si>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</si>
  <si>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</si>
  <si>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</si>
  <si>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</si>
  <si>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</si>
  <si>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</si>
  <si>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</si>
  <si>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</si>
  <si>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</si>
  <si>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</si>
  <si>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</si>
  <si>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</si>
  <si>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</si>
  <si>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</si>
  <si>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</si>
  <si>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</si>
  <si>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</si>
  <si>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</si>
  <si>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</si>
  <si>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</si>
  <si>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</si>
  <si>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</si>
  <si>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</si>
  <si>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</si>
  <si>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</si>
  <si>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</si>
  <si>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</si>
  <si>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</si>
  <si>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</si>
  <si>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</si>
  <si>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</si>
  <si>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</si>
  <si>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</si>
  <si>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</si>
  <si>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</si>
  <si>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</si>
  <si>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</si>
  <si>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</si>
  <si>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</si>
  <si>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</si>
  <si>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</si>
  <si>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</si>
  <si>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</si>
  <si>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</si>
  <si>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</si>
  <si>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</si>
  <si>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</si>
  <si>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</si>
  <si>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</si>
  <si>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</si>
  <si>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</si>
  <si>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</si>
  <si>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</si>
  <si>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</si>
  <si>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</si>
  <si>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</si>
  <si>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</si>
  <si>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</si>
  <si>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</si>
  <si>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</si>
  <si>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</si>
  <si>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</si>
  <si>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</si>
  <si>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</si>
  <si>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</si>
  <si>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</si>
  <si>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</si>
  <si>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</si>
  <si>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</si>
  <si>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</si>
  <si>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</si>
  <si>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</si>
  <si>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</si>
  <si>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</si>
  <si>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</si>
  <si>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</si>
  <si>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</si>
  <si>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</si>
  <si>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</si>
  <si>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</si>
  <si>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</si>
  <si>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</si>
  <si>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</si>
  <si>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</si>
  <si>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</si>
  <si>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</si>
  <si>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</si>
  <si>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</si>
  <si>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</si>
  <si>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</si>
  <si>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</si>
  <si>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</si>
  <si>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</si>
  <si>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</si>
  <si>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</si>
  <si>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</si>
  <si>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</si>
  <si>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</si>
  <si>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</si>
  <si>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</si>
  <si>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</si>
  <si>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</si>
  <si>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</si>
  <si>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</si>
  <si>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</si>
  <si>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</si>
  <si>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</si>
  <si>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</si>
  <si>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</si>
  <si>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</si>
  <si>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</si>
  <si>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</si>
  <si>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</si>
  <si>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</si>
  <si>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</si>
  <si>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</si>
  <si>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</si>
  <si>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</si>
  <si>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</si>
  <si>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</si>
  <si>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</si>
  <si>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</si>
  <si>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</si>
  <si>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</si>
  <si>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</si>
  <si>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</si>
  <si>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</si>
  <si>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</si>
  <si>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</si>
  <si>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</si>
  <si>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</si>
  <si>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</si>
  <si>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</si>
  <si>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</si>
  <si>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</si>
  <si>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</si>
  <si>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</si>
  <si>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</si>
  <si>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</si>
  <si>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</si>
  <si>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</si>
  <si>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</si>
  <si>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</si>
  <si>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</si>
  <si>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</si>
  <si>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</si>
  <si>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</si>
  <si>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</si>
  <si>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</si>
  <si>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</si>
  <si>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</si>
  <si>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</si>
  <si>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</si>
  <si>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</si>
  <si>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</si>
  <si>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</si>
  <si>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</si>
  <si>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</si>
  <si>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</si>
  <si>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</si>
  <si>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</si>
  <si>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</si>
  <si>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</si>
  <si>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</si>
  <si>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</si>
  <si>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</si>
  <si>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</si>
  <si>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</si>
  <si>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</si>
  <si>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</si>
  <si>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</si>
  <si>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</si>
  <si>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</si>
  <si>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</si>
  <si>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</si>
  <si>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</si>
  <si>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</si>
  <si>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</si>
  <si>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</si>
  <si>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</si>
  <si>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</si>
  <si>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</si>
  <si>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</si>
  <si>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</si>
  <si>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</si>
  <si>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</si>
  <si>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</si>
  <si>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</si>
  <si>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</si>
  <si>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</si>
  <si>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</si>
  <si>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</si>
  <si>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</si>
  <si>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</si>
  <si>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</si>
  <si>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</si>
  <si>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</si>
  <si>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</si>
  <si>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</si>
  <si>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</si>
  <si>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</si>
  <si>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</si>
  <si>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</si>
  <si>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</si>
  <si>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</si>
  <si>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</si>
  <si>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</si>
  <si>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</si>
  <si>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</si>
  <si>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</si>
  <si>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</si>
  <si>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</si>
  <si>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</si>
  <si>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</si>
  <si>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</si>
  <si>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</si>
  <si>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</si>
  <si>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</si>
  <si>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</si>
  <si>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</si>
  <si>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</si>
  <si>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</si>
  <si>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</si>
  <si>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</si>
  <si>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</si>
  <si>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</si>
  <si>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</si>
  <si>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</si>
  <si>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</si>
  <si>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</si>
  <si>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</si>
  <si>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</si>
  <si>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</si>
  <si>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</si>
  <si>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</si>
  <si>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</si>
  <si>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</si>
  <si>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</si>
  <si>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</si>
  <si>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</si>
  <si>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</si>
  <si>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</si>
  <si>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</si>
  <si>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</si>
  <si>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</si>
  <si>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</si>
  <si>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</si>
  <si>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</si>
  <si>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</si>
  <si>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</si>
  <si>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</si>
  <si>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</si>
  <si>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</si>
  <si>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</si>
  <si>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</si>
  <si>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</si>
  <si>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</si>
  <si>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</si>
  <si>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</si>
  <si>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</si>
  <si>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</si>
  <si>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</si>
  <si>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</si>
  <si>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</si>
  <si>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</si>
  <si>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</si>
  <si>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</si>
  <si>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</si>
  <si>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</si>
  <si>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</si>
  <si>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</si>
  <si>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</si>
  <si>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</si>
  <si>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</si>
  <si>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</si>
  <si>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</si>
  <si>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</si>
  <si>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</si>
  <si>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</si>
  <si>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</si>
  <si>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</si>
  <si>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</si>
  <si>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</si>
  <si>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</si>
  <si>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</si>
  <si>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</si>
  <si>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</si>
  <si>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</si>
  <si>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</si>
  <si>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</si>
  <si>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</si>
  <si>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</si>
  <si>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</si>
  <si>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</si>
  <si>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</si>
  <si>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</si>
  <si>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</si>
  <si>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</si>
  <si>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</si>
  <si>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</si>
  <si>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</si>
  <si>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</si>
  <si>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</si>
  <si>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</si>
  <si>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</si>
  <si>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</si>
  <si>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</si>
  <si>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</si>
  <si>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</si>
  <si>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</si>
  <si>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</si>
  <si>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</si>
  <si>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</si>
  <si>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</si>
  <si>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</si>
  <si>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</si>
  <si>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</si>
  <si>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</si>
  <si>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</si>
  <si>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</si>
  <si>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</si>
  <si>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</si>
  <si>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</si>
  <si>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</si>
  <si>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</si>
  <si>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</si>
  <si>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</si>
  <si>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</si>
  <si>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</si>
  <si>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</si>
  <si>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</si>
  <si>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</si>
  <si>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</si>
  <si>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</si>
  <si>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</si>
  <si>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</si>
  <si>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</si>
  <si>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</si>
  <si>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</si>
  <si>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</si>
  <si>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</si>
  <si>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</si>
  <si>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</si>
  <si>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</si>
  <si>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</si>
  <si>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</si>
  <si>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</si>
  <si>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</si>
  <si>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</si>
  <si>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</si>
  <si>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</si>
  <si>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</si>
  <si>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</si>
  <si>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</si>
  <si>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</si>
  <si>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</si>
  <si>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</si>
  <si>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</si>
  <si>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</si>
  <si>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</si>
  <si>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</si>
  <si>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</si>
  <si>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</si>
  <si>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</si>
  <si>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</si>
  <si>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</si>
  <si>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</si>
  <si>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</si>
  <si>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</si>
  <si>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</si>
  <si>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</si>
  <si>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</si>
  <si>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</si>
  <si>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</si>
  <si>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</si>
  <si>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</si>
  <si>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</si>
  <si>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</si>
  <si>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</si>
  <si>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</si>
  <si>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</si>
  <si>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</si>
  <si>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</si>
  <si>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</si>
  <si>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</si>
  <si>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</si>
  <si>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</si>
  <si>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</si>
  <si>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</si>
  <si>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</si>
  <si>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</si>
  <si>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</si>
  <si>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</si>
  <si>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</si>
  <si>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</si>
  <si>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</si>
  <si>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</si>
  <si>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</si>
  <si>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</si>
  <si>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</si>
  <si>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</si>
  <si>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</si>
  <si>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</si>
  <si>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</si>
  <si>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</si>
  <si>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</si>
  <si>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</si>
  <si>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</si>
  <si>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</si>
  <si>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</si>
  <si>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</si>
  <si>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</si>
  <si>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</si>
  <si>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</si>
  <si>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</si>
  <si>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</si>
  <si>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</si>
  <si>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</si>
  <si>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</si>
  <si>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</si>
  <si>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</si>
  <si>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</si>
  <si>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</si>
  <si>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</si>
  <si>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</si>
  <si>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</si>
  <si>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</si>
  <si>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</si>
  <si>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</si>
  <si>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</si>
  <si>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</si>
  <si>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</si>
  <si>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</si>
  <si>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</si>
  <si>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</si>
  <si>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</si>
  <si>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</si>
  <si>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</si>
  <si>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</si>
  <si>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</si>
  <si>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</si>
  <si>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</si>
  <si>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</si>
  <si>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</si>
  <si>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</si>
  <si>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</si>
  <si>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</si>
  <si>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</si>
  <si>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</si>
  <si>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</si>
  <si>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</si>
  <si>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</si>
  <si>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</si>
  <si>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</si>
  <si>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</si>
  <si>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</si>
  <si>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</si>
  <si>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</si>
  <si>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</si>
  <si>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</si>
  <si>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</si>
  <si>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</si>
  <si>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</si>
  <si>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</si>
  <si>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</si>
  <si>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</si>
  <si>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</si>
  <si>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</si>
  <si>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</si>
  <si>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</si>
  <si>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</si>
  <si>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</si>
  <si>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</si>
  <si>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</si>
  <si>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</si>
  <si>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</si>
  <si>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</si>
  <si>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</si>
  <si>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</si>
  <si>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</si>
  <si>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</si>
  <si>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</si>
  <si>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</si>
  <si>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</si>
  <si>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</si>
  <si>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</si>
  <si>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</si>
  <si>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</si>
  <si>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</si>
  <si>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</si>
  <si>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</si>
  <si>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</si>
  <si>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</si>
  <si>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</si>
  <si>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</si>
  <si>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</si>
  <si>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</si>
  <si>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</si>
  <si>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</si>
  <si>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</si>
  <si>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</si>
  <si>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</si>
  <si>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</si>
  <si>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</si>
  <si>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</si>
  <si>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</si>
  <si>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</si>
  <si>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</si>
  <si>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</si>
  <si>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</si>
  <si>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</si>
  <si>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</si>
  <si>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</si>
  <si>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</si>
  <si>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</si>
  <si>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</si>
  <si>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</si>
  <si>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</si>
  <si>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</si>
  <si>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</si>
  <si>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</si>
  <si>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</si>
  <si>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</si>
  <si>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</si>
  <si>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</si>
  <si>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</si>
  <si>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</si>
  <si>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</si>
  <si>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</si>
  <si>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</si>
  <si>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</si>
  <si>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</si>
  <si>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</si>
  <si>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</si>
  <si>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</si>
  <si>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</si>
  <si>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</si>
  <si>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</si>
  <si>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</si>
  <si>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</si>
  <si>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</si>
  <si>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</si>
  <si>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</si>
  <si>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</si>
  <si>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</si>
  <si>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</si>
  <si>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</si>
  <si>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</si>
  <si>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</si>
  <si>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</si>
  <si>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</si>
  <si>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</si>
  <si>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</si>
  <si>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</si>
  <si>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</si>
  <si>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</si>
  <si>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</si>
  <si>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</si>
  <si>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</si>
  <si>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</si>
  <si>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</si>
  <si>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</si>
  <si>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</si>
  <si>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</si>
  <si>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</si>
  <si>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</si>
  <si>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</si>
  <si>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</si>
  <si>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</si>
  <si>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</si>
  <si>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</si>
  <si>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</si>
  <si>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</si>
  <si>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</si>
  <si>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</si>
  <si>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</si>
  <si>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</si>
  <si>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</si>
  <si>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</si>
  <si>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</si>
  <si>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</si>
  <si>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</si>
  <si>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</si>
  <si>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</si>
  <si>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</si>
  <si>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</si>
  <si>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</si>
  <si>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</si>
  <si>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</si>
  <si>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</si>
  <si>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</si>
  <si>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</si>
  <si>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</si>
  <si>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</si>
  <si>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</si>
  <si>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</si>
  <si>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</si>
  <si>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</si>
  <si>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</si>
  <si>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</si>
  <si>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</si>
  <si>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</si>
  <si>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</si>
  <si>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</si>
  <si>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</si>
  <si>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</si>
  <si>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</si>
  <si>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</si>
  <si>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</si>
  <si>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</si>
  <si>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</si>
  <si>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</si>
  <si>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</si>
  <si>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</si>
  <si>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</si>
  <si>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</si>
  <si>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</si>
  <si>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</si>
  <si>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</si>
  <si>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</si>
  <si>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</si>
  <si>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</si>
  <si>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</si>
  <si>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</si>
  <si>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</si>
  <si>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</si>
  <si>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</si>
  <si>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</si>
  <si>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</si>
  <si>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</si>
  <si>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</si>
  <si>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</si>
  <si>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</si>
  <si>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</si>
  <si>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</si>
  <si>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</si>
  <si>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</si>
  <si>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</si>
  <si>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</si>
  <si>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</si>
  <si>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</si>
  <si>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</si>
  <si>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</si>
  <si>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</si>
  <si>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</si>
  <si>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</si>
  <si>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</si>
  <si>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</si>
  <si>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</si>
  <si>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</si>
  <si>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</si>
  <si>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</si>
  <si>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</si>
  <si>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</si>
  <si>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</si>
  <si>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</si>
  <si>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</si>
  <si>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</si>
  <si>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</si>
  <si>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</si>
  <si>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</si>
  <si>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</si>
  <si>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</si>
  <si>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</si>
  <si>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</si>
  <si>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</si>
  <si>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</si>
  <si>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</si>
  <si>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</si>
  <si>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</si>
  <si>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</si>
  <si>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</si>
  <si>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</si>
  <si>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</si>
  <si>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</si>
  <si>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</si>
  <si>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</si>
  <si>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</si>
  <si>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</si>
  <si>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</si>
  <si>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</si>
  <si>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</si>
  <si>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</si>
  <si>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</si>
  <si>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</si>
  <si>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</si>
  <si>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</si>
  <si>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</si>
  <si>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</si>
  <si>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</si>
  <si>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</si>
  <si>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</si>
  <si>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</si>
  <si>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</si>
  <si>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</si>
  <si>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</si>
  <si>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</si>
  <si>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</si>
  <si>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</si>
  <si>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</si>
  <si>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</si>
  <si>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</si>
  <si>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</si>
  <si>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</si>
  <si>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</si>
  <si>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</si>
  <si>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</si>
  <si>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</si>
  <si>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</si>
  <si>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</si>
  <si>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</si>
  <si>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</si>
  <si>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</si>
  <si>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</si>
  <si>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</si>
  <si>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</si>
  <si>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</si>
  <si>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</si>
  <si>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</si>
  <si>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</si>
  <si>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</si>
  <si>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</si>
  <si>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</si>
  <si>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</si>
  <si>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</si>
  <si>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</si>
  <si>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</si>
  <si>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</si>
  <si>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</si>
  <si>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</si>
  <si>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</si>
  <si>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</si>
  <si>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</si>
  <si>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</si>
  <si>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</si>
  <si>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</si>
  <si>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</si>
  <si>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</si>
  <si>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</si>
  <si>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</si>
  <si>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</si>
  <si>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</si>
  <si>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</si>
  <si>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</si>
  <si>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</si>
  <si>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</si>
  <si>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</si>
  <si>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</si>
  <si>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</si>
  <si>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</si>
  <si>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</si>
  <si>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</si>
  <si>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</si>
  <si>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</si>
  <si>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</si>
  <si>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</si>
  <si>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</si>
  <si>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</si>
  <si>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</si>
  <si>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</si>
  <si>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</si>
  <si>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</si>
  <si>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</si>
  <si>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</si>
  <si>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</si>
  <si>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</si>
  <si>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</si>
  <si>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</si>
  <si>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</si>
  <si>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</si>
  <si>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</si>
  <si>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</si>
  <si>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</si>
  <si>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</si>
  <si>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</si>
  <si>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</si>
  <si>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</si>
  <si>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</si>
  <si>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</si>
  <si>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</si>
  <si>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</si>
  <si>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</si>
  <si>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</si>
  <si>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</si>
  <si>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</si>
  <si>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</si>
  <si>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</si>
  <si>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</si>
  <si>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</si>
  <si>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</si>
  <si>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</si>
  <si>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</si>
  <si>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</si>
  <si>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</si>
  <si>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</si>
  <si>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</si>
  <si>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</si>
  <si>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</si>
  <si>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</si>
  <si>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</si>
  <si>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</si>
  <si>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</si>
  <si>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</si>
  <si>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</si>
  <si>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</si>
  <si>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</si>
  <si>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</si>
  <si>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</si>
  <si>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</si>
  <si>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</si>
  <si>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</si>
  <si>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</si>
  <si>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</si>
  <si>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</si>
  <si>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</si>
  <si>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</si>
  <si>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</si>
  <si>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</si>
  <si>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</si>
  <si>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</si>
  <si>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</si>
  <si>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</si>
  <si>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</si>
  <si>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</si>
  <si>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</si>
  <si>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</si>
  <si>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</si>
  <si>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</si>
  <si>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</si>
  <si>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</si>
  <si>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</si>
  <si>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</si>
  <si>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</si>
  <si>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</si>
  <si>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</si>
  <si>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</si>
  <si>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</si>
  <si>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</si>
  <si>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</si>
  <si>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</si>
  <si>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</si>
  <si>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</si>
  <si>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</si>
  <si>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</si>
  <si>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</si>
  <si>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</si>
  <si>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</si>
  <si>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</si>
  <si>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</si>
  <si>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</si>
  <si>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</si>
  <si>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</si>
  <si>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</si>
  <si>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</si>
  <si>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</si>
  <si>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</si>
  <si>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</si>
  <si>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</si>
  <si>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</si>
  <si>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</si>
  <si>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</si>
  <si>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</si>
  <si>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</si>
  <si>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</si>
  <si>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</si>
  <si>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</si>
  <si>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</si>
  <si>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</si>
  <si>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</si>
  <si>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</si>
  <si>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</si>
  <si>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</si>
  <si>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</si>
  <si>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</si>
  <si>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</si>
  <si>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</si>
  <si>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</si>
  <si>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</si>
  <si>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</si>
  <si>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</si>
  <si>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</si>
  <si>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</si>
  <si>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</si>
  <si>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</si>
  <si>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</si>
  <si>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</si>
  <si>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</si>
  <si>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</si>
  <si>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</si>
  <si>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</si>
  <si>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</si>
  <si>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</si>
  <si>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</si>
  <si>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</si>
  <si>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</si>
  <si>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</si>
  <si>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</si>
  <si>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</si>
  <si>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</si>
  <si>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</si>
  <si>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</si>
  <si>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</si>
  <si>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</si>
  <si>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</si>
  <si>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</si>
  <si>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</si>
  <si>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</si>
  <si>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</si>
  <si>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</si>
  <si>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</si>
  <si>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</si>
  <si>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</si>
  <si>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</si>
  <si>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</si>
  <si>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</si>
  <si>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</si>
  <si>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</si>
  <si>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</si>
  <si>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</si>
  <si>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</si>
  <si>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</si>
  <si>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</si>
  <si>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</si>
  <si>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</si>
  <si>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</si>
  <si>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</si>
  <si>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</si>
  <si>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</si>
  <si>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</si>
  <si>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</si>
  <si>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</si>
  <si>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</si>
  <si>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</si>
  <si>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</si>
  <si>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</si>
  <si>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</si>
  <si>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</si>
  <si>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</si>
  <si>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</si>
  <si>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</si>
  <si>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</si>
  <si>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</si>
  <si>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</si>
  <si>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</si>
  <si>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</si>
  <si>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</si>
  <si>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</si>
  <si>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</si>
  <si>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</si>
  <si>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</si>
  <si>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</si>
  <si>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</si>
  <si>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</si>
  <si>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</si>
  <si>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</si>
  <si>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</si>
  <si>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</si>
  <si>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</si>
  <si>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</si>
  <si>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</si>
  <si>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</si>
  <si>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</si>
  <si>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</si>
  <si>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</si>
  <si>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</si>
  <si>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</si>
  <si>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</si>
  <si>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</si>
  <si>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</si>
  <si>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</si>
  <si>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</si>
  <si>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</si>
  <si>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</si>
  <si>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</si>
  <si>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</si>
  <si>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</si>
  <si>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</si>
  <si>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</si>
  <si>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</si>
  <si>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</si>
  <si>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</si>
  <si>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</si>
  <si>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</si>
  <si>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</si>
  <si>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</si>
  <si>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</si>
  <si>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</si>
  <si>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</si>
  <si>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</si>
  <si>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</si>
  <si>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</si>
  <si>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</si>
  <si>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</si>
  <si>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</si>
  <si>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</si>
  <si>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</si>
  <si>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</si>
  <si>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</si>
  <si>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</si>
  <si>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</si>
  <si>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</si>
  <si>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</si>
  <si>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</si>
  <si>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</si>
  <si>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</si>
  <si>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</si>
  <si>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</si>
  <si>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</si>
  <si>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</si>
  <si>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</si>
  <si>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</si>
  <si>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</si>
  <si>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</si>
  <si>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</si>
  <si>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</si>
  <si>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</si>
  <si>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</si>
  <si>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</si>
  <si>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</si>
  <si>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</si>
  <si>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</si>
  <si>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</si>
  <si>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</si>
  <si>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</si>
  <si>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</si>
  <si>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</si>
  <si>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</si>
  <si>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</si>
  <si>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</si>
  <si>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</si>
  <si>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</si>
  <si>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</si>
  <si>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</si>
  <si>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</si>
  <si>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</si>
  <si>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</si>
  <si>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</si>
  <si>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</si>
  <si>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</si>
  <si>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</si>
  <si>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</si>
  <si>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</si>
  <si>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</si>
  <si>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</si>
  <si>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</si>
  <si>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</si>
  <si>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</si>
  <si>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</si>
  <si>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</si>
  <si>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</si>
  <si>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</si>
  <si>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</si>
  <si>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</si>
  <si>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</si>
  <si>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</si>
  <si>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</si>
  <si>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</si>
  <si>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</si>
  <si>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</si>
  <si>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</si>
  <si>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</si>
  <si>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</si>
  <si>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</si>
  <si>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</si>
  <si>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</si>
  <si>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</si>
  <si>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</si>
  <si>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</si>
  <si>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</si>
  <si>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</si>
  <si>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</si>
  <si>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</si>
  <si>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</si>
  <si>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</si>
  <si>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</si>
  <si>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</si>
  <si>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</si>
  <si>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</si>
  <si>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</si>
  <si>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</si>
  <si>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</si>
  <si>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</si>
  <si>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</si>
  <si>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</si>
  <si>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</si>
  <si>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</si>
  <si>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</si>
  <si>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</si>
  <si>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</si>
  <si>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</si>
  <si>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</si>
  <si>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</si>
  <si>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</si>
  <si>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</si>
  <si>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</si>
  <si>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</si>
  <si>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</si>
  <si>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</si>
  <si>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</si>
  <si>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</si>
  <si>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</si>
  <si>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</si>
  <si>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</si>
  <si>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</si>
  <si>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</si>
  <si>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</si>
  <si>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</si>
  <si>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</si>
  <si>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</si>
  <si>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</si>
  <si>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</si>
  <si>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</si>
  <si>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</si>
  <si>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</si>
  <si>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</si>
  <si>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</si>
  <si>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</si>
  <si>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</si>
  <si>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</si>
  <si>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</si>
  <si>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</si>
  <si>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</si>
  <si>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</si>
  <si>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</si>
  <si>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</si>
  <si>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</si>
  <si>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</si>
  <si>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</si>
  <si>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</si>
  <si>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</si>
  <si>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</si>
  <si>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</si>
  <si>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</si>
  <si>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</si>
  <si>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</si>
  <si>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</si>
  <si>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</si>
  <si>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</si>
  <si>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</si>
  <si>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</si>
  <si>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</si>
  <si>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</si>
  <si>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</si>
  <si>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</si>
  <si>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</si>
  <si>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</si>
  <si>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</si>
  <si>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</si>
  <si>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</si>
  <si>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</si>
  <si>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</si>
  <si>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</si>
  <si>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</si>
  <si>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</si>
  <si>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</si>
  <si>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</si>
  <si>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</si>
  <si>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</si>
  <si>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</si>
  <si>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</si>
  <si>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</si>
  <si>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</si>
  <si>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</si>
  <si>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</si>
  <si>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</si>
  <si>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</si>
  <si>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</si>
  <si>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</si>
  <si>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</si>
  <si>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</si>
  <si>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</si>
  <si>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</si>
  <si>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</si>
  <si>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</si>
  <si>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</si>
  <si>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</si>
  <si>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</si>
  <si>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</si>
  <si>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</si>
  <si>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</si>
  <si>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</si>
  <si>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</si>
  <si>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</si>
  <si>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</si>
  <si>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</si>
  <si>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</si>
  <si>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</si>
  <si>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</si>
  <si>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</si>
  <si>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</si>
  <si>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</si>
  <si>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</si>
  <si>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</si>
  <si>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</si>
  <si>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</si>
  <si>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</si>
  <si>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</si>
  <si>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</si>
  <si>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</si>
  <si>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</si>
  <si>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</si>
  <si>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</si>
  <si>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</si>
  <si>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</si>
  <si>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</si>
  <si>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</si>
  <si>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</si>
  <si>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</si>
  <si>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</si>
  <si>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</si>
  <si>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</si>
  <si>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</si>
  <si>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</si>
  <si>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</si>
  <si>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</si>
  <si>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</si>
  <si>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</si>
  <si>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</si>
  <si>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</si>
  <si>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</si>
  <si>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</si>
  <si>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</si>
  <si>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</si>
  <si>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</si>
  <si>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</si>
  <si>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</si>
  <si>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</si>
  <si>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</si>
  <si>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</si>
  <si>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</si>
  <si>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</si>
  <si>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</si>
  <si>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</si>
  <si>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</si>
  <si>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</si>
  <si>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</si>
  <si>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</si>
  <si>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</si>
  <si>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</si>
  <si>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</si>
  <si>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</si>
  <si>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</si>
  <si>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</si>
  <si>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</si>
  <si>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</si>
  <si>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</si>
  <si>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</si>
  <si>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</si>
  <si>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</si>
  <si>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</si>
  <si>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</si>
  <si>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</si>
  <si>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</si>
  <si>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</si>
  <si>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</si>
  <si>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</si>
  <si>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</si>
  <si>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</si>
  <si>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</si>
  <si>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</si>
  <si>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</si>
  <si>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</si>
  <si>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</si>
  <si>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</si>
  <si>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</si>
  <si>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</si>
  <si>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</si>
  <si>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</si>
  <si>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</si>
  <si>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</si>
  <si>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</si>
  <si>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</si>
  <si>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</si>
  <si>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</si>
  <si>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</si>
  <si>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</si>
  <si>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</si>
  <si>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</si>
  <si>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</si>
  <si>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</si>
  <si>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</si>
  <si>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</si>
  <si>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</si>
  <si>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</si>
  <si>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</si>
  <si>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</si>
  <si>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</si>
  <si>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</si>
  <si>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</si>
  <si>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</si>
  <si>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</si>
  <si>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</si>
  <si>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</si>
  <si>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</si>
  <si>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</si>
  <si>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</si>
  <si>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</si>
  <si>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</si>
  <si>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</si>
  <si>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</si>
  <si>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</si>
  <si>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</si>
  <si>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</si>
  <si>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</si>
  <si>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</si>
  <si>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</si>
  <si>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</si>
  <si>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</si>
  <si>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</si>
  <si>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</si>
  <si>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</si>
  <si>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</si>
  <si>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</si>
  <si>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</si>
  <si>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</si>
  <si>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</si>
  <si>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</si>
  <si>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</si>
  <si>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</si>
  <si>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</si>
  <si>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</si>
  <si>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</si>
  <si>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</si>
  <si>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</si>
  <si>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</si>
  <si>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</si>
  <si>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</si>
  <si>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</si>
  <si>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</si>
  <si>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</si>
  <si>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</si>
  <si>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</si>
  <si>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</si>
  <si>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</si>
  <si>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</si>
  <si>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</si>
  <si>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</si>
  <si>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</si>
  <si>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</si>
  <si>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</si>
  <si>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</si>
  <si>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</si>
  <si>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</si>
  <si>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</si>
  <si>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</si>
  <si>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</si>
  <si>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</si>
  <si>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</si>
  <si>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</si>
  <si>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</si>
  <si>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</si>
  <si>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</si>
  <si>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</si>
  <si>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</si>
  <si>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</si>
  <si>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</si>
  <si>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</si>
  <si>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</si>
  <si>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</si>
  <si>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</si>
  <si>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</si>
  <si>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</si>
  <si>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</si>
  <si>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</si>
  <si>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</si>
  <si>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</si>
  <si>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</si>
  <si>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</si>
  <si>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</si>
  <si>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</si>
  <si>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</si>
  <si>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</si>
  <si>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</si>
  <si>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</si>
  <si>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</si>
  <si>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</si>
  <si>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</si>
  <si>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</si>
  <si>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</si>
  <si>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</si>
  <si>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</si>
  <si>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</si>
  <si>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</si>
  <si>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</si>
  <si>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</si>
  <si>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</si>
  <si>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</si>
  <si>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</si>
  <si>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</si>
  <si>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</si>
  <si>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</si>
  <si>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</si>
  <si>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</si>
  <si>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</si>
  <si>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</si>
  <si>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</si>
  <si>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</si>
  <si>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</si>
  <si>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</si>
  <si>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</si>
  <si>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</si>
  <si>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</si>
  <si>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</si>
  <si>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</si>
  <si>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</si>
  <si>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</si>
  <si>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</si>
  <si>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</si>
  <si>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</si>
  <si>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</si>
  <si>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</si>
  <si>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</si>
  <si>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</si>
  <si>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</si>
  <si>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</si>
  <si>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</si>
  <si>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</si>
  <si>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</si>
  <si>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</si>
  <si>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</si>
  <si>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</si>
  <si>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</si>
  <si>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</si>
  <si>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</si>
  <si>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</si>
  <si>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</si>
  <si>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</si>
  <si>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</si>
  <si>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</si>
  <si>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</si>
  <si>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</si>
  <si>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</si>
  <si>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</si>
  <si>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</si>
  <si>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</si>
  <si>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</si>
  <si>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</si>
  <si>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</si>
  <si>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</si>
  <si>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</si>
  <si>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</si>
  <si>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</si>
  <si>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</si>
  <si>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</si>
  <si>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</si>
  <si>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</si>
  <si>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</si>
  <si>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</si>
  <si>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</si>
  <si>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</si>
  <si>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</si>
  <si>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</si>
  <si>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</si>
  <si>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</si>
  <si>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</si>
  <si>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</si>
  <si>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</si>
  <si>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</si>
  <si>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</si>
  <si>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</si>
  <si>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</si>
  <si>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</si>
  <si>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</si>
  <si>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</si>
  <si>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</si>
  <si>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</si>
  <si>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</si>
  <si>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</si>
  <si>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</si>
  <si>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</si>
  <si>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</si>
  <si>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</si>
  <si>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</si>
  <si>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</si>
  <si>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</si>
  <si>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</si>
  <si>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</si>
  <si>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</si>
  <si>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</si>
  <si>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</si>
  <si>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</si>
  <si>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</si>
  <si>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</si>
  <si>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</si>
  <si>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</si>
  <si>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</si>
  <si>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</si>
  <si>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</si>
  <si>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</si>
  <si>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</si>
  <si>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</si>
  <si>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</si>
  <si>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</si>
  <si>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</si>
  <si>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</si>
  <si>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</si>
  <si>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</si>
  <si>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</si>
  <si>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</si>
  <si>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</si>
  <si>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</si>
  <si>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</si>
  <si>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</si>
  <si>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</si>
  <si>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</si>
  <si>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</si>
  <si>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</si>
  <si>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</si>
  <si>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</si>
  <si>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</si>
  <si>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</si>
  <si>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</si>
  <si>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</si>
  <si>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</si>
  <si>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</si>
  <si>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</si>
  <si>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</si>
  <si>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</si>
  <si>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</si>
  <si>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</si>
  <si>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</si>
  <si>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</si>
  <si>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</si>
  <si>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</si>
  <si>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</si>
  <si>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</si>
  <si>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</si>
  <si>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</si>
  <si>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</si>
  <si>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</si>
  <si>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</si>
  <si>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</si>
  <si>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</si>
  <si>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</si>
  <si>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</si>
  <si>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</si>
  <si>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</si>
  <si>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</si>
  <si>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</si>
  <si>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</si>
  <si>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</si>
  <si>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</si>
  <si>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</si>
  <si>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</si>
  <si>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</si>
  <si>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</si>
  <si>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</si>
  <si>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</si>
  <si>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</si>
  <si>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</si>
  <si>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</si>
  <si>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</si>
  <si>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</si>
  <si>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</si>
  <si>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</si>
  <si>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</si>
  <si>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</si>
  <si>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</si>
  <si>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</si>
  <si>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</si>
  <si>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</si>
  <si>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</si>
  <si>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</si>
  <si>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</si>
  <si>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</si>
  <si>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</si>
  <si>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</si>
  <si>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</si>
  <si>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</si>
  <si>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</si>
  <si>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</si>
  <si>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</si>
  <si>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</si>
  <si>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</si>
  <si>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</si>
  <si>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</si>
  <si>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</si>
  <si>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</si>
  <si>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</si>
  <si>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</si>
  <si>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</si>
  <si>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</si>
  <si>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</si>
  <si>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</si>
  <si>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</si>
  <si>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</si>
  <si>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</si>
  <si>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</si>
  <si>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</si>
  <si>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</si>
  <si>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</si>
  <si>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</si>
  <si>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</si>
  <si>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</si>
  <si>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</si>
  <si>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</si>
  <si>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</si>
  <si>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</si>
  <si>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</si>
  <si>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</si>
  <si>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</si>
  <si>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</si>
  <si>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</si>
  <si>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</si>
  <si>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</si>
  <si>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</si>
  <si>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</si>
  <si>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</si>
  <si>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</si>
  <si>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</si>
  <si>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</si>
  <si>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</si>
  <si>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</si>
  <si>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</si>
  <si>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</si>
  <si>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</si>
  <si>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</si>
  <si>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</si>
  <si>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</si>
  <si>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</si>
  <si>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</si>
  <si>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</si>
  <si>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</si>
  <si>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</si>
  <si>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</si>
  <si>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</si>
  <si>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</si>
  <si>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</si>
  <si>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</si>
  <si>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</si>
  <si>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</si>
  <si>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</si>
  <si>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</si>
  <si>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</si>
  <si>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</si>
  <si>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</si>
  <si>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</si>
  <si>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</si>
  <si>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</si>
  <si>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</si>
  <si>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</si>
  <si>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</si>
  <si>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</si>
  <si>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</si>
  <si>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</si>
  <si>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</si>
  <si>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</si>
  <si>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</si>
  <si>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</si>
  <si>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</si>
  <si>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</si>
  <si>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</si>
  <si>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</si>
  <si>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</si>
  <si>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</si>
  <si>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</si>
  <si>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</si>
  <si>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</si>
  <si>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</si>
  <si>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</si>
  <si>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</si>
  <si>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</si>
  <si>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</si>
  <si>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</si>
  <si>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</si>
  <si>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</si>
  <si>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</si>
  <si>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</si>
  <si>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</si>
  <si>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</si>
  <si>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</si>
  <si>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</si>
  <si>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</si>
  <si>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</si>
  <si>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</si>
  <si>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</si>
  <si>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</si>
  <si>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</si>
  <si>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</si>
  <si>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</si>
  <si>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</si>
  <si>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</si>
  <si>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</si>
  <si>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</si>
  <si>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</si>
  <si>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</si>
  <si>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</si>
  <si>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</si>
  <si>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</si>
  <si>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</si>
  <si>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</si>
  <si>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</si>
  <si>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</si>
  <si>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</si>
  <si>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</si>
  <si>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</si>
  <si>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</si>
  <si>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</si>
  <si>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</si>
  <si>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</si>
  <si>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</si>
  <si>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</si>
  <si>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</si>
  <si>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</si>
  <si>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</si>
  <si>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</si>
  <si>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</si>
  <si>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</si>
  <si>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</si>
  <si>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</si>
  <si>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17/9/1401</t>
  </si>
  <si>
    <t>وسپه 63483 تا 780</t>
  </si>
  <si>
    <t>ومهان 227211 تا 432</t>
  </si>
  <si>
    <t>وغدیر 108687 تا 1437</t>
  </si>
  <si>
    <t>وسپه 18000 تا 783</t>
  </si>
  <si>
    <t>ومهان 241349 تا 432</t>
  </si>
  <si>
    <t>وغدیر 50767 تا 1439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</si>
</sst>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6999</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7000</v>
      </c>
      <c r="I6" s="40" t="s">
        <v>6650</v>
      </c>
      <c r="L6" s="40" t="str">
        <f t="shared" si="0"/>
        <v>USD,20211107,278010,280080,277200,279910,1,1,1</v>
      </c>
    </row>
    <row r="7" spans="1:15">
      <c r="A7" s="408">
        <v>270860</v>
      </c>
      <c r="B7" s="408">
        <v>270850</v>
      </c>
      <c r="C7" s="270">
        <v>279580</v>
      </c>
      <c r="D7" s="270">
        <v>278240</v>
      </c>
      <c r="E7">
        <v>1730</v>
      </c>
      <c r="F7" s="137">
        <v>6.3E-3</v>
      </c>
      <c r="G7" s="203">
        <v>44506</v>
      </c>
      <c r="H7" t="s">
        <v>7001</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7002</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7003</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7004</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7005</v>
      </c>
      <c r="I11" s="40" t="s">
        <v>6650</v>
      </c>
      <c r="L11" s="40" t="str">
        <f t="shared" si="0"/>
        <v>USD,20211101,,276380,,275070,1,1,1</v>
      </c>
    </row>
    <row r="12" spans="1:15">
      <c r="A12" s="408">
        <v>282460</v>
      </c>
      <c r="B12" s="408">
        <v>281190</v>
      </c>
      <c r="C12" s="270">
        <v>276080</v>
      </c>
      <c r="D12" s="270">
        <v>275750</v>
      </c>
      <c r="E12">
        <v>390</v>
      </c>
      <c r="F12" s="137">
        <v>1.4E-3</v>
      </c>
      <c r="G12" s="203">
        <v>44500</v>
      </c>
      <c r="H12" t="s">
        <v>7006</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7007</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7008</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7009</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7010</v>
      </c>
      <c r="I16" s="40" t="s">
        <v>6650</v>
      </c>
      <c r="L16" s="40" t="str">
        <f t="shared" si="0"/>
        <v>USD,20211026,,275780,,275770,1,1,1</v>
      </c>
    </row>
    <row r="17" spans="1:12">
      <c r="A17" s="408">
        <v>274500</v>
      </c>
      <c r="B17" s="408">
        <v>273490</v>
      </c>
      <c r="C17" s="270">
        <v>276780</v>
      </c>
      <c r="D17" s="270">
        <v>275620</v>
      </c>
      <c r="E17">
        <v>410</v>
      </c>
      <c r="F17" s="137">
        <v>1.5E-3</v>
      </c>
      <c r="G17" s="203">
        <v>44494</v>
      </c>
      <c r="H17" t="s">
        <v>7011</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7012</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7013</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7014</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7015</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7016</v>
      </c>
      <c r="I22" s="40" t="s">
        <v>6650</v>
      </c>
      <c r="L22" s="40" t="str">
        <f t="shared" si="0"/>
        <v>USD,20211018,,273180,,272640,1,1,1</v>
      </c>
    </row>
    <row r="23" spans="1:12">
      <c r="A23" s="408">
        <v>265890</v>
      </c>
      <c r="B23" s="408">
        <v>262890</v>
      </c>
      <c r="C23" s="270">
        <v>272980</v>
      </c>
      <c r="D23" s="270">
        <v>271820</v>
      </c>
      <c r="E23">
        <v>1030</v>
      </c>
      <c r="F23" s="137">
        <v>3.8E-3</v>
      </c>
      <c r="G23" s="203">
        <v>44486</v>
      </c>
      <c r="H23" t="s">
        <v>7017</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7018</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7019</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7020</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7021</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7022</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7023</v>
      </c>
      <c r="I29" s="40" t="s">
        <v>6650</v>
      </c>
      <c r="L29" s="40" t="str">
        <f t="shared" si="0"/>
        <v>USD,20211010,,276280,,275810,1,1,1</v>
      </c>
    </row>
    <row r="30" spans="1:12">
      <c r="A30" s="408">
        <v>257250</v>
      </c>
      <c r="B30" s="408">
        <v>254690</v>
      </c>
      <c r="C30" s="270">
        <v>279380</v>
      </c>
      <c r="D30" s="270">
        <v>275600</v>
      </c>
      <c r="E30">
        <v>3720</v>
      </c>
      <c r="F30" s="137">
        <v>1.35E-2</v>
      </c>
      <c r="G30" s="203">
        <v>44478</v>
      </c>
      <c r="H30" t="s">
        <v>7024</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7025</v>
      </c>
      <c r="I31" s="40" t="s">
        <v>6650</v>
      </c>
      <c r="L31" s="40" t="str">
        <f t="shared" si="0"/>
        <v>USD,20211006,,281680,,279320,1,1,1</v>
      </c>
    </row>
    <row r="32" spans="1:12">
      <c r="A32" s="408">
        <v>255690</v>
      </c>
      <c r="B32" s="408">
        <v>254590</v>
      </c>
      <c r="C32" s="270">
        <v>281680</v>
      </c>
      <c r="D32" s="270">
        <v>281360</v>
      </c>
      <c r="E32" t="s">
        <v>6649</v>
      </c>
      <c r="F32" t="s">
        <v>6649</v>
      </c>
      <c r="G32" s="203">
        <v>44473</v>
      </c>
      <c r="H32" t="s">
        <v>7026</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7027</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7029</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7030</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7031</v>
      </c>
      <c r="I36" s="40" t="s">
        <v>6650</v>
      </c>
      <c r="L36" s="40" t="str">
        <f t="shared" si="0"/>
        <v>USD,20210929,,283210,,282510,1,1,1</v>
      </c>
    </row>
    <row r="37" spans="1:12">
      <c r="A37" s="270">
        <v>248130</v>
      </c>
      <c r="B37" s="270">
        <v>247890</v>
      </c>
      <c r="C37" s="270">
        <v>280710</v>
      </c>
      <c r="D37" s="270">
        <v>280710</v>
      </c>
      <c r="E37">
        <v>3900</v>
      </c>
      <c r="F37" s="137">
        <v>1.41E-2</v>
      </c>
      <c r="G37" s="203">
        <v>44467</v>
      </c>
      <c r="H37" t="s">
        <v>7032</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7033</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7034</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7028</v>
      </c>
      <c r="I40" s="40" t="s">
        <v>6650</v>
      </c>
      <c r="L40" s="40" t="str">
        <f t="shared" si="1"/>
        <v>USD,20210923,,276810,,276810,1,1,1</v>
      </c>
    </row>
    <row r="41" spans="1:12">
      <c r="A41" s="270">
        <v>244820</v>
      </c>
      <c r="B41" s="270">
        <v>244790</v>
      </c>
      <c r="C41" s="270">
        <v>276110</v>
      </c>
      <c r="D41" s="270">
        <v>275210</v>
      </c>
      <c r="E41">
        <v>1180</v>
      </c>
      <c r="F41" s="137">
        <v>4.3E-3</v>
      </c>
      <c r="G41" s="203">
        <v>44461</v>
      </c>
      <c r="H41" t="s">
        <v>7035</v>
      </c>
      <c r="I41" s="40" t="s">
        <v>6650</v>
      </c>
      <c r="L41" s="40" t="str">
        <f t="shared" si="1"/>
        <v>USD,20210922,,276110,,275210,1,1,1</v>
      </c>
    </row>
    <row r="42" spans="1:12">
      <c r="A42" s="270">
        <v>245600</v>
      </c>
      <c r="B42" s="270">
        <v>244090</v>
      </c>
      <c r="C42" s="270">
        <v>276310</v>
      </c>
      <c r="D42" s="270">
        <v>274030</v>
      </c>
      <c r="E42" t="s">
        <v>6649</v>
      </c>
      <c r="F42" t="s">
        <v>6649</v>
      </c>
      <c r="G42" s="203">
        <v>44460</v>
      </c>
      <c r="H42" t="s">
        <v>7036</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7037</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7038</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7039</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7040</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7041</v>
      </c>
      <c r="I47" s="40" t="s">
        <v>6650</v>
      </c>
      <c r="L47" s="40" t="str">
        <f t="shared" si="1"/>
        <v>USD,20210915,,274210,,273210,1,1,1</v>
      </c>
    </row>
    <row r="48" spans="1:12">
      <c r="A48" s="270">
        <v>250040</v>
      </c>
      <c r="B48" s="270">
        <v>249290</v>
      </c>
      <c r="C48" s="270">
        <v>277310</v>
      </c>
      <c r="D48" s="270">
        <v>276470</v>
      </c>
      <c r="E48">
        <v>3360</v>
      </c>
      <c r="F48" s="137">
        <v>1.23E-2</v>
      </c>
      <c r="G48" s="203">
        <v>44453</v>
      </c>
      <c r="H48" t="s">
        <v>7042</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7043</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7044</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7045</v>
      </c>
      <c r="I51" s="40" t="s">
        <v>6650</v>
      </c>
      <c r="L51" s="40" t="str">
        <f t="shared" si="1"/>
        <v>USD,20210911,,278810,,277310,1,1,1</v>
      </c>
    </row>
    <row r="52" spans="1:12">
      <c r="A52" s="270">
        <v>250490</v>
      </c>
      <c r="B52" s="270">
        <v>250010</v>
      </c>
      <c r="C52" s="270">
        <v>279010</v>
      </c>
      <c r="D52" s="270">
        <v>278270</v>
      </c>
      <c r="E52">
        <v>1460</v>
      </c>
      <c r="F52" s="137">
        <v>5.3E-3</v>
      </c>
      <c r="G52" s="203">
        <v>44448</v>
      </c>
      <c r="H52" t="s">
        <v>7046</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7047</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7048</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7051</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7052</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7053</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topLeftCell="A160" zoomScale="85" zoomScaleNormal="85" workbookViewId="0">
      <selection activeCell="D194" sqref="D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7074</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7075</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6482</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6481</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6483</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5968</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6944</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6484</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6988</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6982</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6983</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6984</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6985</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6986</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6987</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6995</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9"/>
  <sheetViews>
    <sheetView topLeftCell="M27" zoomScale="85" zoomScaleNormal="85" workbookViewId="0">
      <selection activeCell="O52" sqref="O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N20*100/$S$184</f>
        <v>1.0298953814521448E-4</v>
      </c>
      <c r="R20" s="167">
        <v>9268987</v>
      </c>
      <c r="S20" s="166" t="s">
        <v>4149</v>
      </c>
      <c r="T20" s="189">
        <f>T112</f>
        <v>1172</v>
      </c>
      <c r="U20" s="166" t="s">
        <v>4280</v>
      </c>
      <c r="V20" s="166">
        <v>192.1</v>
      </c>
      <c r="W20" s="166">
        <f t="shared" ref="W20:W51" si="7">V20*(1+$S$108+$R$15*T20/36500)</f>
        <v>367.73097753424656</v>
      </c>
      <c r="X20" s="32">
        <f t="shared" ref="X20:X26" si="8">W20*(1+$X$19/100)</f>
        <v>375.08559708493152</v>
      </c>
      <c r="Y20" s="32">
        <f t="shared" ref="Y20:Y26" si="9">W20*(1+$Y$19/100)</f>
        <v>382.44021663561642</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1113</v>
      </c>
      <c r="U21" s="19" t="s">
        <v>4422</v>
      </c>
      <c r="V21" s="166">
        <v>192.2</v>
      </c>
      <c r="W21" s="166">
        <f t="shared" si="7"/>
        <v>359.22337972602742</v>
      </c>
      <c r="X21" s="32">
        <f t="shared" si="8"/>
        <v>366.40784732054794</v>
      </c>
      <c r="Y21" s="32">
        <f t="shared" si="9"/>
        <v>373.59231491506853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3364356710</v>
      </c>
      <c r="O22" s="97">
        <v>2352697</v>
      </c>
      <c r="P22" s="183">
        <f>P48</f>
        <v>1430</v>
      </c>
      <c r="Q22" s="67">
        <f t="shared" si="6"/>
        <v>31.331363027276723</v>
      </c>
      <c r="R22" s="167">
        <v>1614398</v>
      </c>
      <c r="S22" s="166" t="s">
        <v>4394</v>
      </c>
      <c r="T22" s="166">
        <f>T21-3</f>
        <v>1110</v>
      </c>
      <c r="U22" s="19" t="s">
        <v>5599</v>
      </c>
      <c r="V22" s="166">
        <v>184.6</v>
      </c>
      <c r="W22" s="166">
        <f t="shared" si="7"/>
        <v>344.59408438356166</v>
      </c>
      <c r="X22" s="32">
        <f t="shared" si="8"/>
        <v>351.48596607123289</v>
      </c>
      <c r="Y22" s="32">
        <f t="shared" si="9"/>
        <v>358.37784775890412</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439254576</v>
      </c>
      <c r="O23" s="97">
        <v>1016793</v>
      </c>
      <c r="P23" s="183">
        <f>P51</f>
        <v>432</v>
      </c>
      <c r="Q23" s="67">
        <f t="shared" si="6"/>
        <v>4.0906615345340454</v>
      </c>
      <c r="R23" s="167">
        <v>133576</v>
      </c>
      <c r="S23" s="166" t="s">
        <v>4459</v>
      </c>
      <c r="T23" s="194">
        <f>T22-22</f>
        <v>1088</v>
      </c>
      <c r="U23" s="166" t="s">
        <v>4460</v>
      </c>
      <c r="V23" s="166">
        <v>166.2</v>
      </c>
      <c r="W23" s="166">
        <f t="shared" si="7"/>
        <v>307.44176876712328</v>
      </c>
      <c r="X23" s="32">
        <f t="shared" si="8"/>
        <v>313.59060414246574</v>
      </c>
      <c r="Y23" s="32">
        <f t="shared" si="9"/>
        <v>319.73943951780819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40581643.767416954</v>
      </c>
      <c r="G24" s="93">
        <f t="shared" si="0"/>
        <v>239724701.61452168</v>
      </c>
      <c r="H24" s="11"/>
      <c r="I24" s="94"/>
      <c r="J24" s="94"/>
      <c r="K24" s="206"/>
      <c r="L24" s="115"/>
      <c r="M24" s="206" t="s">
        <v>4656</v>
      </c>
      <c r="N24" s="111">
        <f t="shared" si="10"/>
        <v>48501012</v>
      </c>
      <c r="O24" s="97">
        <v>63483</v>
      </c>
      <c r="P24" s="183">
        <f>P52</f>
        <v>764</v>
      </c>
      <c r="Q24" s="67">
        <f t="shared" si="6"/>
        <v>0.45167707979523514</v>
      </c>
      <c r="R24" s="167">
        <v>220803</v>
      </c>
      <c r="S24" s="166" t="s">
        <v>4204</v>
      </c>
      <c r="T24" s="194">
        <f>T23-1</f>
        <v>1087</v>
      </c>
      <c r="U24" s="166" t="s">
        <v>4466</v>
      </c>
      <c r="V24" s="166">
        <v>166</v>
      </c>
      <c r="W24" s="166">
        <f t="shared" si="7"/>
        <v>306.94446027397265</v>
      </c>
      <c r="X24" s="32">
        <f t="shared" si="8"/>
        <v>313.08334947945212</v>
      </c>
      <c r="Y24" s="32">
        <f t="shared" si="9"/>
        <v>319.2222386849316</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1085</v>
      </c>
      <c r="U25" s="166" t="s">
        <v>4473</v>
      </c>
      <c r="V25" s="166">
        <v>160.19999999999999</v>
      </c>
      <c r="W25" s="166">
        <f t="shared" si="7"/>
        <v>295.97410849315065</v>
      </c>
      <c r="X25" s="32">
        <f t="shared" si="8"/>
        <v>301.8935906630137</v>
      </c>
      <c r="Y25" s="32">
        <f t="shared" si="9"/>
        <v>307.81307283287668</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1057</v>
      </c>
      <c r="U26" s="166" t="s">
        <v>4547</v>
      </c>
      <c r="V26" s="166">
        <v>172.2</v>
      </c>
      <c r="W26" s="166">
        <f t="shared" si="7"/>
        <v>314.44569205479451</v>
      </c>
      <c r="X26" s="32">
        <f t="shared" si="8"/>
        <v>320.73460589589041</v>
      </c>
      <c r="Y26" s="32">
        <f t="shared" si="9"/>
        <v>327.02351973698632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6937</v>
      </c>
      <c r="L27" s="115">
        <f>-'فروردین 98'!D176</f>
        <v>3846463</v>
      </c>
      <c r="M27" s="166"/>
      <c r="N27" s="111"/>
      <c r="O27" s="67"/>
      <c r="P27" s="97"/>
      <c r="Q27" s="67">
        <f t="shared" si="6"/>
        <v>0</v>
      </c>
      <c r="R27" s="167">
        <v>1563192</v>
      </c>
      <c r="S27" s="206" t="s">
        <v>4643</v>
      </c>
      <c r="T27" s="194">
        <f>T26-33</f>
        <v>1024</v>
      </c>
      <c r="U27" s="206" t="s">
        <v>4644</v>
      </c>
      <c r="V27" s="206">
        <v>168.8</v>
      </c>
      <c r="W27" s="206">
        <f t="shared" si="7"/>
        <v>303.96394082191784</v>
      </c>
      <c r="X27" s="32">
        <f t="shared" ref="X27:X30" si="14">W27*(1+$X$19/100)</f>
        <v>310.04321963835622</v>
      </c>
      <c r="Y27" s="32">
        <f t="shared" ref="Y27:Y30" si="15">W27*(1+$Y$19/100)</f>
        <v>316.1224984547946</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-X162</f>
        <v>58728808.767416954</v>
      </c>
      <c r="M28" s="187" t="s">
        <v>4415</v>
      </c>
      <c r="N28" s="111">
        <v>169</v>
      </c>
      <c r="O28" s="253"/>
      <c r="P28" s="97" t="s">
        <v>25</v>
      </c>
      <c r="Q28" s="67">
        <f t="shared" si="6"/>
        <v>1.5738522422046521E-6</v>
      </c>
      <c r="R28" s="167">
        <v>1204691</v>
      </c>
      <c r="S28" s="206" t="s">
        <v>4849</v>
      </c>
      <c r="T28" s="194">
        <f>T27-76</f>
        <v>948</v>
      </c>
      <c r="U28" s="206" t="s">
        <v>4850</v>
      </c>
      <c r="V28" s="206">
        <v>218.5</v>
      </c>
      <c r="W28" s="206">
        <f t="shared" si="7"/>
        <v>380.72158356164385</v>
      </c>
      <c r="X28" s="32">
        <f t="shared" si="14"/>
        <v>388.33601523287672</v>
      </c>
      <c r="Y28" s="32">
        <f t="shared" si="15"/>
        <v>395.95044690410964</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945</v>
      </c>
      <c r="U29" s="206" t="s">
        <v>4856</v>
      </c>
      <c r="V29" s="206">
        <v>197.1</v>
      </c>
      <c r="W29" s="206">
        <f t="shared" si="7"/>
        <v>342.97992000000005</v>
      </c>
      <c r="X29" s="32">
        <f t="shared" si="14"/>
        <v>349.83951840000003</v>
      </c>
      <c r="Y29" s="32">
        <f t="shared" si="15"/>
        <v>356.69911680000007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0.10806050869506818</v>
      </c>
      <c r="R30" s="167">
        <v>7046042.5001907032</v>
      </c>
      <c r="S30" s="206" t="s">
        <v>4863</v>
      </c>
      <c r="T30" s="194">
        <f>T29-5</f>
        <v>940</v>
      </c>
      <c r="U30" s="206" t="s">
        <v>5564</v>
      </c>
      <c r="V30" s="206">
        <v>194.4</v>
      </c>
      <c r="W30" s="206">
        <f t="shared" si="7"/>
        <v>337.53592109589044</v>
      </c>
      <c r="X30" s="32">
        <f t="shared" si="14"/>
        <v>344.28663951780828</v>
      </c>
      <c r="Y30" s="32">
        <f t="shared" si="15"/>
        <v>351.03735793972606</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475</v>
      </c>
      <c r="U31" s="206" t="s">
        <v>5572</v>
      </c>
      <c r="V31" s="206">
        <v>1843</v>
      </c>
      <c r="W31" s="206">
        <f t="shared" si="7"/>
        <v>2542.5725041095893</v>
      </c>
      <c r="X31" s="32">
        <f t="shared" ref="X31:X34" si="16">W31*(1+$X$19/100)</f>
        <v>2593.4239541917809</v>
      </c>
      <c r="Y31" s="32">
        <f t="shared" ref="Y31:Y34" si="17">W31*(1+$Y$19/100)</f>
        <v>2644.275404273973</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472</v>
      </c>
      <c r="U32" s="206" t="s">
        <v>5574</v>
      </c>
      <c r="V32" s="206">
        <v>1751</v>
      </c>
      <c r="W32" s="206">
        <f t="shared" si="7"/>
        <v>2411.6211178082194</v>
      </c>
      <c r="X32" s="32">
        <f t="shared" si="16"/>
        <v>2459.853540164384</v>
      </c>
      <c r="Y32" s="32">
        <f t="shared" si="17"/>
        <v>2508.0859625205485</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4.0678354060139768</v>
      </c>
      <c r="R33" s="167">
        <v>16176504</v>
      </c>
      <c r="S33" s="206" t="s">
        <v>5575</v>
      </c>
      <c r="T33" s="194">
        <f>T32-1</f>
        <v>471</v>
      </c>
      <c r="U33" s="206" t="s">
        <v>5576</v>
      </c>
      <c r="V33" s="206">
        <v>1730</v>
      </c>
      <c r="W33" s="206">
        <f t="shared" si="7"/>
        <v>2381.3710684931511</v>
      </c>
      <c r="X33" s="32">
        <f t="shared" si="16"/>
        <v>2428.9984898630141</v>
      </c>
      <c r="Y33" s="32">
        <f t="shared" si="17"/>
        <v>2476.6259112328771</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463</v>
      </c>
      <c r="U34" s="206" t="s">
        <v>5586</v>
      </c>
      <c r="V34" s="206">
        <v>1737.1</v>
      </c>
      <c r="W34" s="206">
        <f t="shared" si="7"/>
        <v>2380.4837665753425</v>
      </c>
      <c r="X34" s="32">
        <f t="shared" si="16"/>
        <v>2428.0934419068494</v>
      </c>
      <c r="Y34" s="32">
        <f t="shared" si="17"/>
        <v>2475.7031172383563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462</v>
      </c>
      <c r="U35" s="206" t="s">
        <v>5589</v>
      </c>
      <c r="V35" s="206">
        <v>1730.1</v>
      </c>
      <c r="W35" s="206">
        <f t="shared" si="7"/>
        <v>2369.5639200000001</v>
      </c>
      <c r="X35" s="32">
        <f t="shared" ref="X35:X36" si="18">W35*(1+$X$19/100)</f>
        <v>2416.9551984</v>
      </c>
      <c r="Y35" s="32">
        <f t="shared" ref="Y35:Y36" si="19">W35*(1+$Y$19/100)</f>
        <v>2464.3464768000003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6635</v>
      </c>
      <c r="L36" s="115">
        <v>-34500000</v>
      </c>
      <c r="M36" s="166"/>
      <c r="N36" s="111"/>
      <c r="P36" t="s">
        <v>25</v>
      </c>
      <c r="Q36" s="67"/>
      <c r="R36" s="167">
        <v>38191823</v>
      </c>
      <c r="S36" s="206" t="s">
        <v>5587</v>
      </c>
      <c r="T36" s="194">
        <f>T35-1</f>
        <v>461</v>
      </c>
      <c r="U36" s="206" t="s">
        <v>5588</v>
      </c>
      <c r="V36" s="206">
        <v>1646</v>
      </c>
      <c r="W36" s="206">
        <f t="shared" si="7"/>
        <v>2253.1169534246578</v>
      </c>
      <c r="X36" s="32">
        <f t="shared" si="18"/>
        <v>2298.179292493151</v>
      </c>
      <c r="Y36" s="32">
        <f t="shared" si="19"/>
        <v>2343.2416315616442</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O22+4978</f>
        <v>2357675</v>
      </c>
      <c r="P37" t="s">
        <v>25</v>
      </c>
      <c r="Q37" s="67"/>
      <c r="R37" s="167">
        <v>70173463</v>
      </c>
      <c r="S37" s="206" t="s">
        <v>5590</v>
      </c>
      <c r="T37" s="194">
        <f>T36-3</f>
        <v>458</v>
      </c>
      <c r="U37" s="206" t="s">
        <v>5594</v>
      </c>
      <c r="V37" s="206">
        <v>1674.7</v>
      </c>
      <c r="W37" s="206">
        <f t="shared" si="7"/>
        <v>2288.5486673972605</v>
      </c>
      <c r="X37" s="32">
        <f t="shared" ref="X37:X40" si="20">W37*(1+$X$19/100)</f>
        <v>2334.3196407452056</v>
      </c>
      <c r="Y37" s="32">
        <f t="shared" ref="Y37:Y40" si="21">W37*(1+$Y$19/100)</f>
        <v>2380.0906140931511</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O23+227211</f>
        <v>1244004</v>
      </c>
      <c r="P38" t="s">
        <v>25</v>
      </c>
      <c r="Q38" s="67"/>
      <c r="R38" s="167">
        <v>23283294</v>
      </c>
      <c r="S38" s="206" t="s">
        <v>5592</v>
      </c>
      <c r="T38" s="194">
        <f>T37-2</f>
        <v>456</v>
      </c>
      <c r="U38" s="206" t="s">
        <v>5593</v>
      </c>
      <c r="V38" s="206">
        <v>1663</v>
      </c>
      <c r="W38" s="206">
        <f t="shared" si="7"/>
        <v>2270.0086684931512</v>
      </c>
      <c r="X38" s="32">
        <f t="shared" si="20"/>
        <v>2315.408841863014</v>
      </c>
      <c r="Y38" s="32">
        <f t="shared" si="21"/>
        <v>2360.8090152328773</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455</v>
      </c>
      <c r="U39" s="206" t="s">
        <v>5600</v>
      </c>
      <c r="V39" s="206">
        <v>1580</v>
      </c>
      <c r="W39" s="206">
        <f t="shared" si="7"/>
        <v>2155.5009315068492</v>
      </c>
      <c r="X39" s="32">
        <f t="shared" si="20"/>
        <v>2198.610950136986</v>
      </c>
      <c r="Y39" s="32">
        <f t="shared" si="21"/>
        <v>2241.7209687671234</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450</v>
      </c>
      <c r="U40" s="206" t="s">
        <v>5604</v>
      </c>
      <c r="V40" s="206">
        <v>1560.1</v>
      </c>
      <c r="W40" s="206">
        <f t="shared" si="7"/>
        <v>2122.368588493151</v>
      </c>
      <c r="X40" s="32">
        <f t="shared" si="20"/>
        <v>2164.8159602630139</v>
      </c>
      <c r="Y40" s="32">
        <f t="shared" si="21"/>
        <v>2207.2633320328773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442</v>
      </c>
      <c r="U41" s="206" t="s">
        <v>5610</v>
      </c>
      <c r="V41" s="206">
        <v>1667</v>
      </c>
      <c r="W41" s="206">
        <f t="shared" si="7"/>
        <v>2257.5655780821917</v>
      </c>
      <c r="X41" s="32">
        <f t="shared" ref="X41:X42" si="22">W41*(1+$X$19/100)</f>
        <v>2302.7168896438357</v>
      </c>
      <c r="Y41" s="32">
        <f t="shared" ref="Y41:Y42" si="23">W41*(1+$Y$19/100)</f>
        <v>2347.8682012054796</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6638</v>
      </c>
      <c r="N42" s="111">
        <v>-34200000</v>
      </c>
      <c r="O42" s="275"/>
      <c r="P42" s="94" t="s">
        <v>25</v>
      </c>
      <c r="Q42" s="67"/>
      <c r="R42" s="167">
        <v>2537951</v>
      </c>
      <c r="S42" s="206" t="s">
        <v>5624</v>
      </c>
      <c r="T42" s="194">
        <f>T41-5</f>
        <v>437</v>
      </c>
      <c r="U42" s="206" t="s">
        <v>5625</v>
      </c>
      <c r="V42" s="206">
        <v>1768.2</v>
      </c>
      <c r="W42" s="206">
        <f t="shared" si="7"/>
        <v>2387.8354126027398</v>
      </c>
      <c r="X42" s="32">
        <f t="shared" si="22"/>
        <v>2435.5921208547948</v>
      </c>
      <c r="Y42" s="32">
        <f t="shared" si="23"/>
        <v>2483.3488291068493</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434</v>
      </c>
      <c r="U43" s="206" t="s">
        <v>5640</v>
      </c>
      <c r="V43" s="206">
        <v>1582.3</v>
      </c>
      <c r="W43" s="206">
        <f t="shared" si="7"/>
        <v>2133.1484832876713</v>
      </c>
      <c r="X43" s="32">
        <f t="shared" ref="X43:X44" si="24">W43*(1+$X$19/100)</f>
        <v>2175.8114529534246</v>
      </c>
      <c r="Y43" s="32">
        <f t="shared" ref="Y43:Y44" si="25">W43*(1+$Y$19/100)</f>
        <v>2218.4744226191783</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6619</v>
      </c>
      <c r="L44" s="115">
        <v>20000000</v>
      </c>
      <c r="M44" s="166" t="s">
        <v>4414</v>
      </c>
      <c r="N44" s="326">
        <v>62</v>
      </c>
      <c r="O44" s="112"/>
      <c r="P44" t="s">
        <v>25</v>
      </c>
      <c r="Q44" s="67">
        <f t="shared" ref="Q44:Q54" si="26">N44*100/$S$184</f>
        <v>5.7738957998040492E-7</v>
      </c>
      <c r="R44" s="167">
        <v>23400057</v>
      </c>
      <c r="S44" s="206" t="s">
        <v>5637</v>
      </c>
      <c r="T44" s="194">
        <f>T43-1</f>
        <v>433</v>
      </c>
      <c r="U44" s="206" t="s">
        <v>5641</v>
      </c>
      <c r="V44" s="206">
        <v>1610.6</v>
      </c>
      <c r="W44" s="206">
        <f t="shared" si="7"/>
        <v>2170.0650761643838</v>
      </c>
      <c r="X44" s="32">
        <f t="shared" si="24"/>
        <v>2213.4663776876714</v>
      </c>
      <c r="Y44" s="32">
        <f t="shared" si="25"/>
        <v>2256.8676792109591</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7060</v>
      </c>
      <c r="L45" s="115">
        <v>25000000</v>
      </c>
      <c r="M45" s="166" t="s">
        <v>6477</v>
      </c>
      <c r="N45" s="111">
        <f>O45*P45</f>
        <v>0</v>
      </c>
      <c r="O45" s="97">
        <v>0</v>
      </c>
      <c r="P45" s="97">
        <v>1</v>
      </c>
      <c r="Q45" s="67">
        <f t="shared" si="26"/>
        <v>0</v>
      </c>
      <c r="R45" s="167"/>
      <c r="S45" s="206" t="s">
        <v>5643</v>
      </c>
      <c r="T45" s="194">
        <f>T44-4</f>
        <v>429</v>
      </c>
      <c r="U45" s="206" t="s">
        <v>5644</v>
      </c>
      <c r="V45" s="206">
        <v>1582</v>
      </c>
      <c r="W45" s="206">
        <f t="shared" si="7"/>
        <v>2126.6760986301369</v>
      </c>
      <c r="X45" s="32">
        <f t="shared" ref="X45:X46" si="27">W45*(1+$X$19/100)</f>
        <v>2169.2096206027395</v>
      </c>
      <c r="Y45" s="32">
        <f t="shared" ref="Y45:Y46" si="28">W45*(1+$Y$19/100)</f>
        <v>2211.7431425753425</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428</v>
      </c>
      <c r="U46" s="206" t="s">
        <v>5646</v>
      </c>
      <c r="V46" s="206">
        <v>1530</v>
      </c>
      <c r="W46" s="206">
        <f t="shared" si="7"/>
        <v>2055.5990136986302</v>
      </c>
      <c r="X46" s="32">
        <f t="shared" si="27"/>
        <v>2096.7109939726029</v>
      </c>
      <c r="Y46" s="32">
        <f t="shared" si="28"/>
        <v>2137.8229742465755</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426</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4130936810</v>
      </c>
      <c r="O48" s="97">
        <v>2888767</v>
      </c>
      <c r="P48" s="97">
        <v>1430</v>
      </c>
      <c r="Q48" s="67">
        <f t="shared" si="26"/>
        <v>38.470320478249896</v>
      </c>
      <c r="R48" s="167"/>
      <c r="S48" s="206" t="s">
        <v>5664</v>
      </c>
      <c r="T48" s="194">
        <f>T47-19</f>
        <v>407</v>
      </c>
      <c r="U48" s="206" t="s">
        <v>5665</v>
      </c>
      <c r="V48" s="206">
        <v>1160</v>
      </c>
      <c r="W48" s="206">
        <f t="shared" si="7"/>
        <v>1539.8062465753428</v>
      </c>
      <c r="X48" s="32">
        <f t="shared" si="30"/>
        <v>1570.6023715068497</v>
      </c>
      <c r="Y48" s="32">
        <f t="shared" si="31"/>
        <v>1601.3984964383567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6620</v>
      </c>
      <c r="L49" s="115">
        <f>-20*P53</f>
        <v>-26200000</v>
      </c>
      <c r="M49" s="19" t="s">
        <v>5856</v>
      </c>
      <c r="N49" s="111">
        <f>O49*P49</f>
        <v>0</v>
      </c>
      <c r="O49" s="97">
        <v>0</v>
      </c>
      <c r="P49" s="97">
        <v>3420</v>
      </c>
      <c r="Q49" s="67">
        <f t="shared" si="26"/>
        <v>0</v>
      </c>
      <c r="R49" s="167"/>
      <c r="S49" s="206" t="s">
        <v>5666</v>
      </c>
      <c r="T49" s="194">
        <f>T48-1</f>
        <v>406</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405</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6647</v>
      </c>
      <c r="L51" s="115">
        <f>-10*P53</f>
        <v>-13100000</v>
      </c>
      <c r="M51" s="19" t="s">
        <v>5267</v>
      </c>
      <c r="N51" s="111">
        <f t="shared" si="29"/>
        <v>2318506416</v>
      </c>
      <c r="O51" s="97">
        <v>5366913</v>
      </c>
      <c r="P51" s="97">
        <v>432</v>
      </c>
      <c r="Q51" s="67">
        <f t="shared" si="26"/>
        <v>21.591636221227642</v>
      </c>
      <c r="R51" s="167"/>
      <c r="S51" s="206" t="s">
        <v>5670</v>
      </c>
      <c r="T51" s="194">
        <f>T50-3</f>
        <v>402</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6648</v>
      </c>
      <c r="L52" s="115">
        <v>80060</v>
      </c>
      <c r="M52" s="19" t="s">
        <v>4656</v>
      </c>
      <c r="N52" s="111">
        <f t="shared" si="29"/>
        <v>13752000</v>
      </c>
      <c r="O52" s="97">
        <v>18000</v>
      </c>
      <c r="P52" s="97">
        <v>764</v>
      </c>
      <c r="Q52" s="67">
        <f t="shared" si="26"/>
        <v>0.1280687339337182</v>
      </c>
      <c r="R52" s="167"/>
      <c r="S52" s="206" t="s">
        <v>5673</v>
      </c>
      <c r="T52" s="194">
        <f>T51-2</f>
        <v>400</v>
      </c>
      <c r="U52" s="206" t="s">
        <v>5674</v>
      </c>
      <c r="V52" s="206"/>
      <c r="W52" s="206">
        <f t="shared" ref="W52:W72" si="32">V52*(1+$S$108+$R$15*T52/36500)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393</v>
      </c>
      <c r="U53" s="206" t="s">
        <v>6472</v>
      </c>
      <c r="V53" s="206">
        <v>1100</v>
      </c>
      <c r="W53" s="206">
        <f t="shared" si="32"/>
        <v>1448.3473972602742</v>
      </c>
      <c r="X53" s="32">
        <f t="shared" si="30"/>
        <v>1477.3143452054796</v>
      </c>
      <c r="Y53" s="32">
        <f t="shared" si="31"/>
        <v>1506.2812931506853</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7059</v>
      </c>
      <c r="L54" s="115">
        <v>-6500000</v>
      </c>
      <c r="M54" s="71" t="s">
        <v>5055</v>
      </c>
      <c r="N54" s="115">
        <f t="shared" si="29"/>
        <v>0</v>
      </c>
      <c r="O54" s="67">
        <v>0</v>
      </c>
      <c r="P54" s="67">
        <v>28100</v>
      </c>
      <c r="Q54" s="67">
        <f t="shared" si="26"/>
        <v>0</v>
      </c>
      <c r="R54" s="167"/>
      <c r="S54" s="206" t="s">
        <v>963</v>
      </c>
      <c r="T54" s="284">
        <f>T53-20</f>
        <v>373</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351</v>
      </c>
      <c r="U55" s="206" t="s">
        <v>6994</v>
      </c>
      <c r="V55" s="206">
        <v>1302</v>
      </c>
      <c r="W55" s="206">
        <f t="shared" si="32"/>
        <v>1672.3672767123287</v>
      </c>
      <c r="X55" s="32">
        <f t="shared" si="30"/>
        <v>1705.8146222465753</v>
      </c>
      <c r="Y55" s="32">
        <f t="shared" si="31"/>
        <v>1739.2619677808218</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155</v>
      </c>
      <c r="U56" s="206" t="s">
        <v>6473</v>
      </c>
      <c r="V56" s="206">
        <v>1343</v>
      </c>
      <c r="W56" s="206">
        <f t="shared" si="32"/>
        <v>1523.1018191780822</v>
      </c>
      <c r="X56" s="32">
        <f t="shared" ref="X56:X61" si="33">W56*(1+$X$19/100)</f>
        <v>1553.563855561644</v>
      </c>
      <c r="Y56" s="32">
        <f t="shared" ref="Y56:Y61" si="34">W56*(1+$Y$19/100)</f>
        <v>1584.0258919452056</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2841767</v>
      </c>
      <c r="P57" s="113"/>
      <c r="Q57" s="113"/>
      <c r="R57" s="167"/>
      <c r="S57" s="206" t="s">
        <v>6474</v>
      </c>
      <c r="T57" s="194">
        <f>T56-1</f>
        <v>154</v>
      </c>
      <c r="U57" s="206" t="s">
        <v>6475</v>
      </c>
      <c r="V57" s="206">
        <v>1350.4</v>
      </c>
      <c r="W57" s="206">
        <f t="shared" si="32"/>
        <v>1530.4582663013703</v>
      </c>
      <c r="X57" s="32">
        <f t="shared" si="33"/>
        <v>1561.0674316273976</v>
      </c>
      <c r="Y57" s="32">
        <f t="shared" si="34"/>
        <v>1591.6765969534251</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6478</v>
      </c>
      <c r="T58" s="194">
        <f>T57-4</f>
        <v>150</v>
      </c>
      <c r="U58" s="206" t="s">
        <v>6479</v>
      </c>
      <c r="V58" s="206">
        <v>1350.3</v>
      </c>
      <c r="W58" s="206">
        <f t="shared" si="32"/>
        <v>1526.2015463013699</v>
      </c>
      <c r="X58" s="32">
        <f t="shared" si="33"/>
        <v>1556.7255772273975</v>
      </c>
      <c r="Y58" s="32">
        <f t="shared" si="34"/>
        <v>1587.2496081534248</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149</v>
      </c>
      <c r="U59" s="206" t="s">
        <v>6488</v>
      </c>
      <c r="V59" s="206">
        <v>1375.2</v>
      </c>
      <c r="W59" s="206">
        <f t="shared" si="32"/>
        <v>1553.2902838356167</v>
      </c>
      <c r="X59" s="32">
        <f t="shared" si="33"/>
        <v>1584.3560895123292</v>
      </c>
      <c r="Y59" s="32">
        <f t="shared" si="34"/>
        <v>1615.4218951890414</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O51+241349</f>
        <v>5608262</v>
      </c>
      <c r="P60" t="s">
        <v>25</v>
      </c>
      <c r="R60" s="167"/>
      <c r="S60" s="206" t="s">
        <v>6492</v>
      </c>
      <c r="T60" s="194">
        <f>T59-1</f>
        <v>148</v>
      </c>
      <c r="U60" s="206" t="s">
        <v>6493</v>
      </c>
      <c r="V60" s="206">
        <v>1406</v>
      </c>
      <c r="W60" s="206">
        <f t="shared" si="32"/>
        <v>1587.0003506849316</v>
      </c>
      <c r="X60" s="32">
        <f t="shared" si="33"/>
        <v>1618.7403576986303</v>
      </c>
      <c r="Y60" s="32">
        <f t="shared" si="34"/>
        <v>1650.480364712329</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-X155</f>
        <v>-120920728.79789975</v>
      </c>
      <c r="P61" t="s">
        <v>25</v>
      </c>
      <c r="R61" s="167"/>
      <c r="S61" s="206" t="s">
        <v>955</v>
      </c>
      <c r="T61" s="194">
        <f>T112-1085</f>
        <v>87</v>
      </c>
      <c r="U61" s="206" t="s">
        <v>6931</v>
      </c>
      <c r="V61" s="206">
        <v>1617</v>
      </c>
      <c r="W61" s="206">
        <f t="shared" si="32"/>
        <v>1749.4965369863014</v>
      </c>
      <c r="X61" s="32">
        <f t="shared" si="33"/>
        <v>1784.4864677260275</v>
      </c>
      <c r="Y61" s="32">
        <f t="shared" si="34"/>
        <v>1819.4763984657536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-2742</v>
      </c>
      <c r="P62" t="s">
        <v>25</v>
      </c>
      <c r="R62" s="167"/>
      <c r="S62" s="206" t="s">
        <v>6971</v>
      </c>
      <c r="T62" s="194">
        <f>T112-1121</f>
        <v>51</v>
      </c>
      <c r="U62" s="206" t="s">
        <v>7084</v>
      </c>
      <c r="V62" s="206">
        <v>1500</v>
      </c>
      <c r="W62" s="206">
        <f t="shared" si="32"/>
        <v>1581.4849315068495</v>
      </c>
      <c r="X62" s="32">
        <f t="shared" ref="X62:X75" si="36">W62*(1+$X$19/100)</f>
        <v>1613.1146301369865</v>
      </c>
      <c r="Y62" s="32">
        <f t="shared" ref="Y62:Y75" si="37">W62*(1+$Y$19/100)</f>
        <v>1644.7443287671235</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6996</v>
      </c>
      <c r="T63" s="194">
        <f>T112-1138</f>
        <v>34</v>
      </c>
      <c r="U63" s="206" t="s">
        <v>6997</v>
      </c>
      <c r="V63" s="206">
        <v>1500</v>
      </c>
      <c r="W63" s="206">
        <f t="shared" si="32"/>
        <v>1561.9232876712329</v>
      </c>
      <c r="X63" s="32">
        <f t="shared" si="36"/>
        <v>1593.1617534246575</v>
      </c>
      <c r="Y63" s="32">
        <f t="shared" si="37"/>
        <v>1624.4002191780821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10599002053.202101</v>
      </c>
      <c r="P64" t="s">
        <v>25</v>
      </c>
      <c r="R64" s="167"/>
      <c r="S64" s="206" t="s">
        <v>7049</v>
      </c>
      <c r="T64" s="194">
        <f>T112-1144</f>
        <v>28</v>
      </c>
      <c r="U64" s="206" t="s">
        <v>7050</v>
      </c>
      <c r="V64" s="206">
        <v>1590</v>
      </c>
      <c r="W64" s="206">
        <f t="shared" si="32"/>
        <v>1648.3203287671233</v>
      </c>
      <c r="X64" s="32">
        <f t="shared" si="36"/>
        <v>1681.2867353424658</v>
      </c>
      <c r="Y64" s="32">
        <f t="shared" si="37"/>
        <v>1714.2531419178083</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40581643.767416954</v>
      </c>
      <c r="M65" s="166"/>
      <c r="N65" s="111">
        <f>N16+N17+N37</f>
        <v>141053</v>
      </c>
      <c r="P65" t="s">
        <v>25</v>
      </c>
      <c r="R65" s="167"/>
      <c r="S65" s="206" t="s">
        <v>7081</v>
      </c>
      <c r="T65" s="194">
        <f>T112-1164</f>
        <v>8</v>
      </c>
      <c r="U65" s="206" t="s">
        <v>7082</v>
      </c>
      <c r="V65" s="206">
        <v>1420</v>
      </c>
      <c r="W65" s="206">
        <f t="shared" si="32"/>
        <v>1450.2985205479454</v>
      </c>
      <c r="X65" s="32">
        <f t="shared" si="36"/>
        <v>1479.3044909589044</v>
      </c>
      <c r="Y65" s="32">
        <f t="shared" si="37"/>
        <v>1508.3104613698633</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63435180.767416954</v>
      </c>
      <c r="M66" s="111"/>
      <c r="N66" s="166"/>
      <c r="O66" s="113"/>
      <c r="P66" s="113" t="s">
        <v>25</v>
      </c>
      <c r="Q66" s="113"/>
      <c r="R66" s="167"/>
      <c r="S66" s="206" t="s">
        <v>7083</v>
      </c>
      <c r="T66" s="194">
        <f>T112-1165</f>
        <v>7</v>
      </c>
      <c r="U66" s="206" t="s">
        <v>7105</v>
      </c>
      <c r="V66" s="206">
        <v>1437</v>
      </c>
      <c r="W66" s="206">
        <f t="shared" si="32"/>
        <v>1466.5588931506852</v>
      </c>
      <c r="X66" s="32">
        <f t="shared" si="36"/>
        <v>1495.8900710136988</v>
      </c>
      <c r="Y66" s="32">
        <f t="shared" si="37"/>
        <v>1525.2212488767127</v>
      </c>
      <c r="Z66" s="120">
        <v>108687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140581643.76741695</v>
      </c>
      <c r="O67" s="94"/>
      <c r="P67" s="120" t="s">
        <v>25</v>
      </c>
      <c r="Q67" s="120"/>
      <c r="R67" s="167"/>
      <c r="S67" s="206" t="s">
        <v>7085</v>
      </c>
      <c r="T67" s="194">
        <f>T112-1166</f>
        <v>6</v>
      </c>
      <c r="U67" s="206" t="s">
        <v>7086</v>
      </c>
      <c r="V67" s="206">
        <v>430.4</v>
      </c>
      <c r="W67" s="206">
        <f t="shared" si="32"/>
        <v>438.92309917808217</v>
      </c>
      <c r="X67" s="32">
        <f t="shared" si="36"/>
        <v>447.70156116164384</v>
      </c>
      <c r="Y67" s="32">
        <f t="shared" si="37"/>
        <v>456.48002314520545</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7087</v>
      </c>
      <c r="T68" s="194">
        <f>T112-1169</f>
        <v>3</v>
      </c>
      <c r="U68" s="206" t="s">
        <v>7093</v>
      </c>
      <c r="V68" s="206">
        <v>432</v>
      </c>
      <c r="W68" s="206">
        <f t="shared" si="32"/>
        <v>439.56059178082194</v>
      </c>
      <c r="X68" s="32">
        <f t="shared" si="36"/>
        <v>448.35180361643836</v>
      </c>
      <c r="Y68" s="32">
        <f t="shared" si="37"/>
        <v>457.14301545205484</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7095</v>
      </c>
      <c r="T69" s="194">
        <f>T112-1170</f>
        <v>2</v>
      </c>
      <c r="U69" s="206" t="s">
        <v>7097</v>
      </c>
      <c r="V69" s="206">
        <v>438</v>
      </c>
      <c r="W69" s="206">
        <f t="shared" si="32"/>
        <v>445.32960000000008</v>
      </c>
      <c r="X69" s="32">
        <f t="shared" si="36"/>
        <v>454.23619200000007</v>
      </c>
      <c r="Y69" s="32">
        <f t="shared" si="37"/>
        <v>463.14278400000012</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6390</v>
      </c>
      <c r="P70" s="113"/>
      <c r="Q70" s="113"/>
      <c r="R70" s="167"/>
      <c r="S70" s="206" t="s">
        <v>7098</v>
      </c>
      <c r="T70" s="194">
        <f>T112-1170</f>
        <v>2</v>
      </c>
      <c r="U70" s="206" t="s">
        <v>7099</v>
      </c>
      <c r="V70" s="206">
        <v>426</v>
      </c>
      <c r="W70" s="206">
        <f t="shared" si="32"/>
        <v>433.12878904109596</v>
      </c>
      <c r="X70" s="32">
        <f t="shared" si="36"/>
        <v>441.79136482191791</v>
      </c>
      <c r="Y70" s="32">
        <f t="shared" si="37"/>
        <v>450.45394060273981</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6391</v>
      </c>
      <c r="R71" s="167"/>
      <c r="S71" s="206" t="s">
        <v>7101</v>
      </c>
      <c r="T71" s="194">
        <f>T112-1172</f>
        <v>0</v>
      </c>
      <c r="U71" s="206" t="s">
        <v>7103</v>
      </c>
      <c r="V71" s="206">
        <v>780</v>
      </c>
      <c r="W71" s="206">
        <f t="shared" si="32"/>
        <v>791.85600000000011</v>
      </c>
      <c r="X71" s="32">
        <f t="shared" si="36"/>
        <v>807.69312000000014</v>
      </c>
      <c r="Y71" s="32">
        <f t="shared" si="37"/>
        <v>823.53024000000016</v>
      </c>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6392</v>
      </c>
      <c r="R72" s="167"/>
      <c r="S72" s="206" t="s">
        <v>7101</v>
      </c>
      <c r="T72" s="194">
        <f>T112-1172</f>
        <v>0</v>
      </c>
      <c r="U72" s="206" t="s">
        <v>7104</v>
      </c>
      <c r="V72" s="206">
        <v>432</v>
      </c>
      <c r="W72" s="206">
        <f t="shared" si="32"/>
        <v>438.56640000000004</v>
      </c>
      <c r="X72" s="32">
        <f t="shared" si="36"/>
        <v>447.33772800000003</v>
      </c>
      <c r="Y72" s="32">
        <f t="shared" si="37"/>
        <v>456.10905600000007</v>
      </c>
      <c r="Z72" s="120"/>
      <c r="AA72" s="120"/>
      <c r="AB72" s="473">
        <v>227211</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6398</v>
      </c>
      <c r="R73" s="167"/>
      <c r="S73" s="206"/>
      <c r="T73" s="194"/>
      <c r="U73" s="206"/>
      <c r="V73" s="206"/>
      <c r="W73" s="206"/>
      <c r="X73" s="32"/>
      <c r="Y73" s="32"/>
      <c r="Z73" s="120"/>
      <c r="AA73" s="120"/>
      <c r="AB73" s="472"/>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c r="S74" s="206" t="s">
        <v>25</v>
      </c>
      <c r="T74" s="194"/>
      <c r="U74" s="206"/>
      <c r="V74" s="206"/>
      <c r="W74" s="206">
        <f>V74*(1+$S$108+$R$15*T74/36500)</f>
        <v>0</v>
      </c>
      <c r="X74" s="32">
        <f t="shared" si="36"/>
        <v>0</v>
      </c>
      <c r="Y74" s="32">
        <f t="shared" si="37"/>
        <v>0</v>
      </c>
      <c r="Z74" s="120"/>
      <c r="AA74" s="120" t="s">
        <v>25</v>
      </c>
      <c r="AB74" s="94" t="s">
        <v>25</v>
      </c>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167" t="s">
        <v>25</v>
      </c>
      <c r="S75" s="166" t="s">
        <v>25</v>
      </c>
      <c r="T75" s="166"/>
      <c r="U75" s="166" t="s">
        <v>25</v>
      </c>
      <c r="V75" s="166"/>
      <c r="W75" s="206">
        <f>V75*(1+$S$108+$R$15*T75/36500)</f>
        <v>0</v>
      </c>
      <c r="X75" s="32">
        <f t="shared" si="36"/>
        <v>0</v>
      </c>
      <c r="Y75" s="32">
        <f t="shared" si="37"/>
        <v>0</v>
      </c>
      <c r="Z75" s="120"/>
      <c r="AA75" s="120" t="s">
        <v>25</v>
      </c>
      <c r="AB75" s="94"/>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7">
        <f>SUM(N22:N25)-SUM(R20:R75)</f>
        <v>2049867949.6758094</v>
      </c>
      <c r="S76" s="166" t="s">
        <v>25</v>
      </c>
      <c r="T76" s="166" t="s">
        <v>25</v>
      </c>
      <c r="U76" s="166" t="s">
        <v>25</v>
      </c>
      <c r="V76" s="166"/>
      <c r="W76" s="166"/>
      <c r="X76" s="32"/>
      <c r="Y76" s="32"/>
      <c r="Z76" t="s">
        <v>25</v>
      </c>
      <c r="AA76" s="120"/>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4714</v>
      </c>
      <c r="P80" s="113"/>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6">
        <v>0</v>
      </c>
      <c r="S81" s="166" t="s">
        <v>4149</v>
      </c>
      <c r="T81" s="166">
        <f>T112</f>
        <v>1172</v>
      </c>
      <c r="U81" s="166"/>
      <c r="V81" s="166"/>
      <c r="W81" s="71"/>
      <c r="X81" s="32"/>
      <c r="Y81" s="32"/>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863944</v>
      </c>
      <c r="S82" s="166" t="s">
        <v>4394</v>
      </c>
      <c r="T82" s="166">
        <f>T81-62</f>
        <v>1110</v>
      </c>
      <c r="U82" s="188" t="s">
        <v>4453</v>
      </c>
      <c r="V82" s="166">
        <v>184.6</v>
      </c>
      <c r="W82" s="166">
        <f t="shared" ref="W82:W99" si="40">V82*(1+$S$108+$R$15*T82/36500)</f>
        <v>344.59408438356166</v>
      </c>
      <c r="X82" s="32">
        <f t="shared" ref="X82:X89" si="41">W82*(1+$X$19/100)</f>
        <v>351.48596607123289</v>
      </c>
      <c r="Y82" s="32">
        <f t="shared" ref="Y82:Y89" si="42">W82*(1+$Y$19/100)</f>
        <v>358.37784775890412</v>
      </c>
      <c r="Z82" s="94">
        <v>4661</v>
      </c>
      <c r="AB82" s="113"/>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1692313</v>
      </c>
      <c r="S83" s="166" t="s">
        <v>4456</v>
      </c>
      <c r="T83" s="194">
        <f>T82-21</f>
        <v>1089</v>
      </c>
      <c r="U83" s="187" t="s">
        <v>4457</v>
      </c>
      <c r="V83" s="166">
        <v>168.5</v>
      </c>
      <c r="W83" s="166">
        <f t="shared" si="40"/>
        <v>311.8256383561644</v>
      </c>
      <c r="X83" s="32">
        <f t="shared" si="41"/>
        <v>318.06215112328772</v>
      </c>
      <c r="Y83" s="32">
        <f t="shared" si="42"/>
        <v>324.29866389041098</v>
      </c>
      <c r="Z83" s="94">
        <v>10000</v>
      </c>
      <c r="AB83" s="113"/>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101153</v>
      </c>
      <c r="S84" s="166" t="s">
        <v>4459</v>
      </c>
      <c r="T84" s="194">
        <f>T83-1</f>
        <v>1088</v>
      </c>
      <c r="U84" s="187" t="s">
        <v>4461</v>
      </c>
      <c r="V84" s="166">
        <v>166.7</v>
      </c>
      <c r="W84" s="166">
        <f t="shared" si="40"/>
        <v>308.36668383561641</v>
      </c>
      <c r="X84" s="32">
        <f t="shared" si="41"/>
        <v>314.53401751232877</v>
      </c>
      <c r="Y84" s="32">
        <f t="shared" si="42"/>
        <v>320.70135118904108</v>
      </c>
      <c r="Z84" s="94">
        <v>604</v>
      </c>
      <c r="AB84" s="120" t="s">
        <v>25</v>
      </c>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183105</v>
      </c>
      <c r="S85" s="166" t="s">
        <v>4204</v>
      </c>
      <c r="T85" s="194">
        <f>T84-1</f>
        <v>1087</v>
      </c>
      <c r="U85" s="187" t="s">
        <v>4465</v>
      </c>
      <c r="V85" s="166">
        <v>166.6</v>
      </c>
      <c r="W85" s="166">
        <f t="shared" si="40"/>
        <v>308.05389808219178</v>
      </c>
      <c r="X85" s="32">
        <f t="shared" si="41"/>
        <v>314.21497604383563</v>
      </c>
      <c r="Y85" s="32">
        <f t="shared" si="42"/>
        <v>320.37605400547949</v>
      </c>
      <c r="Z85" s="94">
        <v>1094</v>
      </c>
      <c r="AB85" s="113" t="s">
        <v>25</v>
      </c>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168846</v>
      </c>
      <c r="S86" s="166" t="s">
        <v>3673</v>
      </c>
      <c r="T86" s="194">
        <f>T85-30</f>
        <v>1057</v>
      </c>
      <c r="U86" s="187" t="s">
        <v>4547</v>
      </c>
      <c r="V86" s="166">
        <v>172.2</v>
      </c>
      <c r="W86" s="166">
        <f t="shared" si="40"/>
        <v>314.44569205479451</v>
      </c>
      <c r="X86" s="32">
        <f t="shared" si="41"/>
        <v>320.73460589589041</v>
      </c>
      <c r="Y86" s="32">
        <f t="shared" si="42"/>
        <v>327.02351973698632</v>
      </c>
      <c r="Z86" s="94">
        <v>976</v>
      </c>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19918023</v>
      </c>
      <c r="S87" s="5" t="s">
        <v>4772</v>
      </c>
      <c r="T87" s="194">
        <f>T86-75</f>
        <v>982</v>
      </c>
      <c r="U87" s="187" t="s">
        <v>4774</v>
      </c>
      <c r="V87" s="206">
        <v>183</v>
      </c>
      <c r="W87" s="206">
        <f t="shared" si="40"/>
        <v>323.63825753424658</v>
      </c>
      <c r="X87" s="32">
        <f t="shared" si="41"/>
        <v>330.11102268493153</v>
      </c>
      <c r="Y87" s="32">
        <f t="shared" si="42"/>
        <v>336.58378783561648</v>
      </c>
      <c r="Z87" s="94">
        <v>108344</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1200301</v>
      </c>
      <c r="S88" s="19" t="s">
        <v>4849</v>
      </c>
      <c r="T88" s="194">
        <f>T87-34</f>
        <v>948</v>
      </c>
      <c r="U88" s="187" t="s">
        <v>4851</v>
      </c>
      <c r="V88" s="206">
        <v>218.5</v>
      </c>
      <c r="W88" s="206">
        <f t="shared" si="40"/>
        <v>380.72158356164385</v>
      </c>
      <c r="X88" s="32">
        <f t="shared" si="41"/>
        <v>388.33601523287672</v>
      </c>
      <c r="Y88" s="32">
        <f t="shared" si="42"/>
        <v>395.95044690410964</v>
      </c>
      <c r="Z88" s="94">
        <v>5468</v>
      </c>
      <c r="AA88" s="113"/>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5837196.2537021004</v>
      </c>
      <c r="S89" s="19" t="s">
        <v>4873</v>
      </c>
      <c r="T89" s="194">
        <f>T88-16</f>
        <v>932</v>
      </c>
      <c r="U89" s="187" t="s">
        <v>5598</v>
      </c>
      <c r="V89" s="206">
        <v>196.2</v>
      </c>
      <c r="W89" s="206">
        <f t="shared" si="40"/>
        <v>339.45717698630142</v>
      </c>
      <c r="X89" s="32">
        <f t="shared" si="41"/>
        <v>346.24632052602743</v>
      </c>
      <c r="Y89" s="32">
        <f t="shared" si="42"/>
        <v>353.0354640657535</v>
      </c>
      <c r="Z89" s="94">
        <v>29619</v>
      </c>
      <c r="AA89" s="113"/>
      <c r="AB89" s="113"/>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v>2948152</v>
      </c>
      <c r="S90" s="19" t="s">
        <v>5633</v>
      </c>
      <c r="T90" s="194">
        <f>T89-498</f>
        <v>434</v>
      </c>
      <c r="U90" s="187" t="s">
        <v>5634</v>
      </c>
      <c r="V90" s="206">
        <v>1550</v>
      </c>
      <c r="W90" s="206">
        <f t="shared" si="40"/>
        <v>2089.6038356164386</v>
      </c>
      <c r="X90" s="32">
        <f t="shared" ref="X90:X96" si="43">W90*(1+$X$19/100)</f>
        <v>2131.3959123287673</v>
      </c>
      <c r="Y90" s="32">
        <f t="shared" ref="Y90:Y96" si="44">W90*(1+$Y$19/100)</f>
        <v>2173.187989041096</v>
      </c>
      <c r="Z90" s="94">
        <v>1895</v>
      </c>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5729</v>
      </c>
      <c r="T91" s="194">
        <f>T90-83</f>
        <v>351</v>
      </c>
      <c r="U91" s="187" t="s">
        <v>5730</v>
      </c>
      <c r="V91" s="206">
        <v>1275</v>
      </c>
      <c r="W91" s="206">
        <f t="shared" si="40"/>
        <v>1637.6868493150685</v>
      </c>
      <c r="X91" s="32">
        <f t="shared" si="43"/>
        <v>1670.4405863013699</v>
      </c>
      <c r="Y91" s="32">
        <f t="shared" si="44"/>
        <v>1703.1943232876713</v>
      </c>
      <c r="Z91" s="94">
        <v>48654</v>
      </c>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5737</v>
      </c>
      <c r="T92" s="194">
        <f>T91-5</f>
        <v>346</v>
      </c>
      <c r="U92" s="187" t="s">
        <v>5738</v>
      </c>
      <c r="V92" s="206">
        <v>1210</v>
      </c>
      <c r="W92" s="206">
        <f t="shared" si="40"/>
        <v>1549.5558356164383</v>
      </c>
      <c r="X92" s="32">
        <f t="shared" si="43"/>
        <v>1580.5469523287672</v>
      </c>
      <c r="Y92" s="32">
        <f t="shared" si="44"/>
        <v>1611.5380690410959</v>
      </c>
      <c r="Z92" s="94">
        <v>450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5743</v>
      </c>
      <c r="T93" s="194">
        <f>T92-4</f>
        <v>342</v>
      </c>
      <c r="U93" s="187" t="s">
        <v>5744</v>
      </c>
      <c r="V93" s="206">
        <v>1175</v>
      </c>
      <c r="W93" s="206">
        <f t="shared" si="40"/>
        <v>1501.128493150685</v>
      </c>
      <c r="X93" s="32">
        <f t="shared" si="43"/>
        <v>1531.1510630136988</v>
      </c>
      <c r="Y93" s="32">
        <f t="shared" si="44"/>
        <v>1561.1736328767124</v>
      </c>
      <c r="Z93" s="94">
        <v>27754</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5745</v>
      </c>
      <c r="T94" s="194">
        <f>T93-3</f>
        <v>339</v>
      </c>
      <c r="U94" s="187" t="s">
        <v>5746</v>
      </c>
      <c r="V94" s="206">
        <v>1148</v>
      </c>
      <c r="W94" s="206">
        <f t="shared" si="40"/>
        <v>1463.9925041095892</v>
      </c>
      <c r="X94" s="32">
        <f t="shared" si="43"/>
        <v>1493.272354191781</v>
      </c>
      <c r="Y94" s="32">
        <f t="shared" si="44"/>
        <v>1522.5522042739728</v>
      </c>
      <c r="Z94" s="94">
        <v>8020</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6998</v>
      </c>
      <c r="R95" s="167"/>
      <c r="S95" s="19" t="s">
        <v>5749</v>
      </c>
      <c r="T95" s="194">
        <f>T94-1</f>
        <v>338</v>
      </c>
      <c r="U95" s="187" t="s">
        <v>5750</v>
      </c>
      <c r="V95" s="206">
        <v>1141</v>
      </c>
      <c r="W95" s="206">
        <f t="shared" si="40"/>
        <v>1454.1904328767123</v>
      </c>
      <c r="X95" s="32">
        <f t="shared" si="43"/>
        <v>1483.2742415342466</v>
      </c>
      <c r="Y95" s="32">
        <f t="shared" si="44"/>
        <v>1512.3580501917809</v>
      </c>
      <c r="Z95" s="94">
        <v>3695</v>
      </c>
      <c r="AA95" s="94"/>
      <c r="AB95" s="94"/>
      <c r="AI95" s="97">
        <v>75</v>
      </c>
      <c r="AJ95" s="111" t="s">
        <v>4451</v>
      </c>
      <c r="AK95" s="111">
        <v>2269000</v>
      </c>
      <c r="AL95" s="97">
        <v>1</v>
      </c>
      <c r="AM95" s="97">
        <f t="shared" ref="AM95:AM120" si="45">AM96+AL95</f>
        <v>995</v>
      </c>
      <c r="AN95" s="115">
        <f t="shared" si="12"/>
        <v>2257655000</v>
      </c>
      <c r="AO95" s="97"/>
    </row>
    <row r="96" spans="4:53">
      <c r="D96" s="32" t="s">
        <v>314</v>
      </c>
      <c r="E96" s="1">
        <v>140000</v>
      </c>
      <c r="F96" s="94"/>
      <c r="G96" s="94"/>
      <c r="H96" s="94"/>
      <c r="I96" s="94" t="s">
        <v>25</v>
      </c>
      <c r="J96" s="94" t="s">
        <v>25</v>
      </c>
      <c r="K96" s="94"/>
      <c r="R96" s="167"/>
      <c r="S96" s="19" t="s">
        <v>5747</v>
      </c>
      <c r="T96" s="194">
        <f>T95-1</f>
        <v>337</v>
      </c>
      <c r="U96" s="187" t="s">
        <v>7056</v>
      </c>
      <c r="V96" s="206">
        <v>1171</v>
      </c>
      <c r="W96" s="206">
        <f t="shared" si="40"/>
        <v>1491.5267616438357</v>
      </c>
      <c r="X96" s="32">
        <f t="shared" si="43"/>
        <v>1521.3572968767123</v>
      </c>
      <c r="Y96" s="32">
        <f t="shared" si="44"/>
        <v>1551.1878321095892</v>
      </c>
      <c r="Z96" s="94">
        <v>54223</v>
      </c>
      <c r="AI96" s="97">
        <v>76</v>
      </c>
      <c r="AJ96" s="111" t="s">
        <v>4206</v>
      </c>
      <c r="AK96" s="111">
        <v>750000</v>
      </c>
      <c r="AL96" s="97">
        <v>4</v>
      </c>
      <c r="AM96" s="97">
        <f t="shared" si="45"/>
        <v>994</v>
      </c>
      <c r="AN96" s="115">
        <f t="shared" si="12"/>
        <v>745500000</v>
      </c>
      <c r="AO96" s="97"/>
      <c r="AR96" t="s">
        <v>25</v>
      </c>
    </row>
    <row r="97" spans="4:48">
      <c r="D97" s="2" t="s">
        <v>476</v>
      </c>
      <c r="E97" s="3">
        <v>1083333</v>
      </c>
      <c r="F97" s="343"/>
      <c r="G97" s="343"/>
      <c r="H97" s="343"/>
      <c r="I97" s="343"/>
      <c r="J97" s="343"/>
      <c r="K97" s="94"/>
      <c r="R97" s="167"/>
      <c r="S97" s="19" t="s">
        <v>5807</v>
      </c>
      <c r="T97" s="194">
        <f>T96-65</f>
        <v>272</v>
      </c>
      <c r="U97" s="187" t="s">
        <v>5808</v>
      </c>
      <c r="V97" s="206">
        <v>1255.0999999999999</v>
      </c>
      <c r="W97" s="206">
        <f t="shared" si="40"/>
        <v>1536.0635912328767</v>
      </c>
      <c r="X97" s="32">
        <f t="shared" ref="X97:X103" si="46">W97*(1+$X$19/100)</f>
        <v>1566.7848630575343</v>
      </c>
      <c r="Y97" s="32">
        <f t="shared" ref="Y97:Y103" si="47">W97*(1+$Y$19/100)</f>
        <v>1597.5061348821919</v>
      </c>
      <c r="Z97" s="94"/>
      <c r="AA97" s="94">
        <v>26860</v>
      </c>
      <c r="AB97" s="94">
        <f>AA97*3</f>
        <v>80580</v>
      </c>
      <c r="AI97" s="97">
        <v>77</v>
      </c>
      <c r="AJ97" s="111" t="s">
        <v>4456</v>
      </c>
      <c r="AK97" s="111">
        <v>1900000</v>
      </c>
      <c r="AL97" s="97">
        <v>3</v>
      </c>
      <c r="AM97" s="97">
        <f t="shared" si="45"/>
        <v>990</v>
      </c>
      <c r="AN97" s="115">
        <f t="shared" si="12"/>
        <v>1881000000</v>
      </c>
      <c r="AO97" s="97"/>
    </row>
    <row r="98" spans="4:48">
      <c r="D98" s="2"/>
      <c r="E98" s="3"/>
      <c r="F98" s="94"/>
      <c r="G98" s="94"/>
      <c r="H98" s="94"/>
      <c r="I98" s="94"/>
      <c r="J98" s="94"/>
      <c r="K98" s="94"/>
      <c r="M98" s="94" t="s">
        <v>25</v>
      </c>
      <c r="R98" s="167"/>
      <c r="S98" s="19" t="s">
        <v>7087</v>
      </c>
      <c r="T98" s="194">
        <f>T112-1169</f>
        <v>3</v>
      </c>
      <c r="U98" s="187" t="s">
        <v>7090</v>
      </c>
      <c r="V98" s="206">
        <v>436.6</v>
      </c>
      <c r="W98" s="206">
        <f t="shared" si="40"/>
        <v>444.24109808219185</v>
      </c>
      <c r="X98" s="32">
        <f t="shared" si="46"/>
        <v>453.12592004383572</v>
      </c>
      <c r="Y98" s="32">
        <f t="shared" si="47"/>
        <v>462.01074200547953</v>
      </c>
      <c r="Z98" s="470"/>
      <c r="AA98" s="470"/>
      <c r="AB98" s="470">
        <v>2217</v>
      </c>
      <c r="AI98" s="97">
        <v>78</v>
      </c>
      <c r="AJ98" s="111" t="s">
        <v>4469</v>
      </c>
      <c r="AK98" s="111">
        <v>6400000</v>
      </c>
      <c r="AL98" s="97">
        <v>1</v>
      </c>
      <c r="AM98" s="97">
        <f t="shared" si="45"/>
        <v>987</v>
      </c>
      <c r="AN98" s="115">
        <f t="shared" si="12"/>
        <v>6316800000</v>
      </c>
      <c r="AO98" s="97"/>
    </row>
    <row r="99" spans="4:48">
      <c r="D99" s="2"/>
      <c r="E99" s="3"/>
      <c r="F99" s="94"/>
      <c r="G99" s="94"/>
      <c r="H99" s="94"/>
      <c r="I99" s="94"/>
      <c r="J99" s="94" t="s">
        <v>25</v>
      </c>
      <c r="K99" s="94"/>
      <c r="M99" s="94"/>
      <c r="R99" s="167"/>
      <c r="S99" s="19" t="s">
        <v>7087</v>
      </c>
      <c r="T99" s="194">
        <f>T112-1169</f>
        <v>3</v>
      </c>
      <c r="U99" s="187" t="s">
        <v>7091</v>
      </c>
      <c r="V99" s="206">
        <v>1396</v>
      </c>
      <c r="W99" s="206">
        <f t="shared" si="40"/>
        <v>1420.4319123287671</v>
      </c>
      <c r="X99" s="32">
        <f t="shared" si="46"/>
        <v>1448.8405505753424</v>
      </c>
      <c r="Y99" s="32">
        <f t="shared" si="47"/>
        <v>1477.2491888219179</v>
      </c>
      <c r="Z99" s="470">
        <v>4518</v>
      </c>
      <c r="AA99" s="470"/>
      <c r="AB99" s="470"/>
      <c r="AI99" s="97">
        <v>79</v>
      </c>
      <c r="AJ99" s="111" t="s">
        <v>4467</v>
      </c>
      <c r="AK99" s="111">
        <v>5000</v>
      </c>
      <c r="AL99" s="97">
        <v>5</v>
      </c>
      <c r="AM99" s="97">
        <f t="shared" si="45"/>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c r="X100" s="32"/>
      <c r="Y100" s="32"/>
      <c r="Z100" s="470"/>
      <c r="AA100" s="470"/>
      <c r="AB100" s="470"/>
      <c r="AI100" s="97">
        <v>80</v>
      </c>
      <c r="AJ100" s="111" t="s">
        <v>4495</v>
      </c>
      <c r="AK100" s="111">
        <v>-1750148</v>
      </c>
      <c r="AL100" s="97">
        <v>1</v>
      </c>
      <c r="AM100" s="97">
        <f t="shared" si="45"/>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2"/>
        <v>392000000</v>
      </c>
      <c r="AO101" s="97"/>
    </row>
    <row r="102" spans="4:48">
      <c r="F102" s="94"/>
      <c r="G102" s="94"/>
      <c r="H102" s="94"/>
      <c r="I102" s="94"/>
      <c r="J102" s="94" t="s">
        <v>25</v>
      </c>
      <c r="K102" t="s">
        <v>25</v>
      </c>
      <c r="L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2"/>
        <v>-2063312580</v>
      </c>
      <c r="AO102" s="97"/>
      <c r="AP102" t="s">
        <v>25</v>
      </c>
    </row>
    <row r="103" spans="4:48">
      <c r="J103" t="s">
        <v>25</v>
      </c>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2"/>
        <v>-5411538022</v>
      </c>
      <c r="AO103" s="97"/>
    </row>
    <row r="104" spans="4:48">
      <c r="R104" s="111">
        <f>SUM(N30:N33)-SUM(R81:R103)</f>
        <v>415493996.7462979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7932097030</v>
      </c>
      <c r="N106" s="181">
        <f>L106-M106</f>
        <v>-5181097030</v>
      </c>
      <c r="P106" s="94"/>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2769364512</v>
      </c>
      <c r="N107" s="111">
        <f t="shared" ref="N107:N109" si="49">L107-M107</f>
        <v>-2337064512</v>
      </c>
      <c r="P107" s="94"/>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X109" s="191"/>
      <c r="Y109" s="191"/>
      <c r="AB109" t="s">
        <v>25</v>
      </c>
      <c r="AE109" s="94"/>
      <c r="AF109"/>
      <c r="AG109"/>
      <c r="AI109" s="97">
        <v>89</v>
      </c>
      <c r="AJ109" s="111" t="s">
        <v>4516</v>
      </c>
      <c r="AK109" s="111">
        <v>10000000</v>
      </c>
      <c r="AL109" s="97">
        <v>4</v>
      </c>
      <c r="AM109" s="97">
        <f t="shared" si="45"/>
        <v>972</v>
      </c>
      <c r="AN109" s="115">
        <f t="shared" si="12"/>
        <v>9720000000</v>
      </c>
      <c r="AO109" s="97"/>
    </row>
    <row r="110" spans="4:48" ht="30">
      <c r="F110" s="196"/>
      <c r="G110" s="196"/>
      <c r="H110" s="196"/>
      <c r="I110" s="196"/>
      <c r="J110" s="207" t="s">
        <v>314</v>
      </c>
      <c r="K110" s="196">
        <v>1</v>
      </c>
      <c r="L110" s="208">
        <f t="shared" si="48"/>
        <v>13100000</v>
      </c>
      <c r="M110" s="208">
        <f>N52+N24+N45+N29+N21</f>
        <v>62253012</v>
      </c>
      <c r="N110" s="181">
        <f>L110-M110</f>
        <v>-49153012</v>
      </c>
      <c r="P110" t="s">
        <v>25</v>
      </c>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35">
        <v>38474780.062005915</v>
      </c>
      <c r="S112" s="5" t="s">
        <v>4149</v>
      </c>
      <c r="T112" s="5">
        <v>1172</v>
      </c>
      <c r="U112" s="5" t="s">
        <v>5565</v>
      </c>
      <c r="V112" s="166">
        <v>192</v>
      </c>
      <c r="W112" s="97">
        <f t="shared" ref="W112:W144" si="50">V112*(1+$S$108+$R$15*T112/36500)</f>
        <v>367.53955068493156</v>
      </c>
      <c r="X112" s="32">
        <f t="shared" ref="X112" si="51">W112*(1+$X$19/100)</f>
        <v>374.89034169863021</v>
      </c>
      <c r="Y112" s="32">
        <f t="shared" ref="Y112" si="52">W112*(1+$Y$19/100)</f>
        <v>382.24113271232881</v>
      </c>
      <c r="Z112" s="94">
        <v>200000</v>
      </c>
      <c r="AI112" s="97">
        <v>92</v>
      </c>
      <c r="AJ112" s="111" t="s">
        <v>4525</v>
      </c>
      <c r="AK112" s="111">
        <v>-15000000</v>
      </c>
      <c r="AL112" s="97">
        <v>0</v>
      </c>
      <c r="AM112" s="97">
        <f t="shared" si="45"/>
        <v>966</v>
      </c>
      <c r="AN112" s="115">
        <f t="shared" si="12"/>
        <v>-14490000000</v>
      </c>
      <c r="AO112" s="97"/>
      <c r="AP112" t="s">
        <v>25</v>
      </c>
    </row>
    <row r="113" spans="6:47">
      <c r="F113" s="196"/>
      <c r="G113" s="196"/>
      <c r="H113" s="196"/>
      <c r="I113" s="196"/>
      <c r="J113" s="207" t="s">
        <v>4985</v>
      </c>
      <c r="K113" s="196">
        <f>SUM(K106:K111)</f>
        <v>821</v>
      </c>
      <c r="L113" s="208"/>
      <c r="M113" s="208"/>
      <c r="N113" s="181"/>
      <c r="R113" s="167">
        <v>433201621</v>
      </c>
      <c r="S113" s="206" t="s">
        <v>5570</v>
      </c>
      <c r="T113" s="206">
        <f>T112-695</f>
        <v>477</v>
      </c>
      <c r="U113" s="206" t="s">
        <v>5577</v>
      </c>
      <c r="V113" s="206">
        <v>1995.5</v>
      </c>
      <c r="W113" s="97">
        <f t="shared" si="50"/>
        <v>2756.0205863013703</v>
      </c>
      <c r="X113" s="32">
        <f t="shared" ref="X113:X114" si="53">W113*(1+$X$19/100)</f>
        <v>2811.1409980273979</v>
      </c>
      <c r="Y113" s="32">
        <f t="shared" ref="Y113:Y114" si="54">W113*(1+$Y$19/100)</f>
        <v>2866.2614097534251</v>
      </c>
      <c r="Z113">
        <v>216287</v>
      </c>
      <c r="AA113" t="s">
        <v>25</v>
      </c>
      <c r="AI113" s="97">
        <v>93</v>
      </c>
      <c r="AJ113" s="111" t="s">
        <v>4525</v>
      </c>
      <c r="AK113" s="111">
        <v>3000000</v>
      </c>
      <c r="AL113" s="97">
        <v>1</v>
      </c>
      <c r="AM113" s="97">
        <f t="shared" si="45"/>
        <v>966</v>
      </c>
      <c r="AN113" s="115">
        <f t="shared" si="12"/>
        <v>2898000000</v>
      </c>
      <c r="AO113" s="97"/>
    </row>
    <row r="114" spans="6:47">
      <c r="F114" s="206"/>
      <c r="G114" s="206"/>
      <c r="H114" s="206" t="s">
        <v>25</v>
      </c>
      <c r="I114" s="206"/>
      <c r="J114" s="32"/>
      <c r="K114" s="206">
        <v>0</v>
      </c>
      <c r="L114" s="39">
        <f>10*P53</f>
        <v>13100000</v>
      </c>
      <c r="M114" s="1">
        <f>K114*L114</f>
        <v>0</v>
      </c>
      <c r="N114" s="111">
        <f>SUM(N106:N112)-M114</f>
        <v>-13625844</v>
      </c>
      <c r="P114" s="112"/>
      <c r="Q114" s="112"/>
      <c r="R114" s="167">
        <v>8201348.2384272004</v>
      </c>
      <c r="S114" s="206" t="s">
        <v>5573</v>
      </c>
      <c r="T114" s="206">
        <f>T113-5</f>
        <v>472</v>
      </c>
      <c r="U114" s="206" t="s">
        <v>5626</v>
      </c>
      <c r="V114" s="206">
        <v>1751</v>
      </c>
      <c r="W114" s="97">
        <f t="shared" si="50"/>
        <v>2411.6211178082194</v>
      </c>
      <c r="X114" s="32">
        <f t="shared" si="53"/>
        <v>2459.853540164384</v>
      </c>
      <c r="Y114" s="32">
        <f t="shared" si="54"/>
        <v>2508.0859625205485</v>
      </c>
      <c r="Z114">
        <v>4667</v>
      </c>
      <c r="AI114" s="97">
        <v>94</v>
      </c>
      <c r="AJ114" s="111" t="s">
        <v>4528</v>
      </c>
      <c r="AK114" s="111">
        <v>-2103736</v>
      </c>
      <c r="AL114" s="97">
        <v>0</v>
      </c>
      <c r="AM114" s="97">
        <f t="shared" si="45"/>
        <v>965</v>
      </c>
      <c r="AN114" s="115">
        <f t="shared" si="12"/>
        <v>-2030105240</v>
      </c>
      <c r="AO114" s="97"/>
    </row>
    <row r="115" spans="6:47">
      <c r="F115" s="196"/>
      <c r="G115" s="196"/>
      <c r="H115" s="196"/>
      <c r="I115" s="196"/>
      <c r="J115" s="207"/>
      <c r="K115" s="225"/>
      <c r="L115" s="208" t="s">
        <v>4226</v>
      </c>
      <c r="M115" s="208" t="s">
        <v>4589</v>
      </c>
      <c r="N115" s="181" t="s">
        <v>4590</v>
      </c>
      <c r="P115" t="s">
        <v>25</v>
      </c>
      <c r="R115" s="167">
        <v>106896832</v>
      </c>
      <c r="S115" s="206" t="s">
        <v>5628</v>
      </c>
      <c r="T115" s="206">
        <f>T114-36</f>
        <v>436</v>
      </c>
      <c r="U115" s="206" t="s">
        <v>5629</v>
      </c>
      <c r="V115" s="206">
        <v>1715</v>
      </c>
      <c r="W115" s="97">
        <f t="shared" si="50"/>
        <v>2314.6767671232878</v>
      </c>
      <c r="X115" s="32">
        <f t="shared" ref="X115" si="55">W115*(1+$X$19/100)</f>
        <v>2360.9703024657538</v>
      </c>
      <c r="Y115" s="32">
        <f t="shared" ref="Y115" si="56">W115*(1+$Y$19/100)</f>
        <v>2407.2638378082193</v>
      </c>
      <c r="Z115" s="94">
        <v>62100</v>
      </c>
      <c r="AA115" t="s">
        <v>25</v>
      </c>
      <c r="AI115" s="97">
        <v>95</v>
      </c>
      <c r="AJ115" s="111" t="s">
        <v>4528</v>
      </c>
      <c r="AK115" s="111">
        <v>220000</v>
      </c>
      <c r="AL115" s="97">
        <v>3</v>
      </c>
      <c r="AM115" s="97">
        <f t="shared" si="45"/>
        <v>965</v>
      </c>
      <c r="AN115" s="115">
        <f t="shared" si="12"/>
        <v>212300000</v>
      </c>
      <c r="AO115" s="97"/>
      <c r="AS115" s="94"/>
      <c r="AT115" s="94"/>
      <c r="AU115"/>
    </row>
    <row r="116" spans="6:47">
      <c r="F116" s="206"/>
      <c r="G116" s="206"/>
      <c r="H116" s="206"/>
      <c r="I116" s="206"/>
      <c r="J116" s="32" t="s">
        <v>4596</v>
      </c>
      <c r="K116" s="206"/>
      <c r="L116" s="1"/>
      <c r="M116" s="1"/>
      <c r="N116" s="111"/>
      <c r="R116" s="167">
        <v>455942528</v>
      </c>
      <c r="S116" s="206" t="s">
        <v>5630</v>
      </c>
      <c r="T116" s="206">
        <f>T115-1</f>
        <v>435</v>
      </c>
      <c r="U116" s="206" t="s">
        <v>5631</v>
      </c>
      <c r="V116" s="206">
        <v>1631</v>
      </c>
      <c r="W116" s="97">
        <f t="shared" si="50"/>
        <v>2200.0536657534249</v>
      </c>
      <c r="X116" s="32">
        <f t="shared" ref="X116:X117" si="57">W116*(1+$X$19/100)</f>
        <v>2244.0547390684933</v>
      </c>
      <c r="Y116" s="32">
        <f t="shared" ref="Y116:Y117" si="58">W116*(1+$Y$19/100)</f>
        <v>2288.0558123835617</v>
      </c>
      <c r="Z116">
        <v>278514</v>
      </c>
      <c r="AB116" t="s">
        <v>25</v>
      </c>
      <c r="AI116" s="97">
        <v>96</v>
      </c>
      <c r="AJ116" s="111" t="s">
        <v>4537</v>
      </c>
      <c r="AK116" s="111">
        <v>4000000</v>
      </c>
      <c r="AL116" s="97">
        <v>1</v>
      </c>
      <c r="AM116" s="97">
        <f t="shared" si="45"/>
        <v>962</v>
      </c>
      <c r="AN116" s="115">
        <f t="shared" si="12"/>
        <v>3848000000</v>
      </c>
      <c r="AO116" s="97"/>
    </row>
    <row r="117" spans="6:47">
      <c r="M117" t="s">
        <v>25</v>
      </c>
      <c r="R117" s="167">
        <v>834999909.33089697</v>
      </c>
      <c r="S117" s="206" t="s">
        <v>5633</v>
      </c>
      <c r="T117" s="206">
        <f>T116-1</f>
        <v>434</v>
      </c>
      <c r="U117" s="206" t="s">
        <v>5652</v>
      </c>
      <c r="V117" s="206">
        <v>1567.4</v>
      </c>
      <c r="W117" s="97">
        <f t="shared" si="50"/>
        <v>2113.0613238356168</v>
      </c>
      <c r="X117" s="32">
        <f t="shared" si="57"/>
        <v>2155.322550312329</v>
      </c>
      <c r="Y117" s="32">
        <f t="shared" si="58"/>
        <v>2197.5837767890416</v>
      </c>
      <c r="Z117">
        <v>530747</v>
      </c>
      <c r="AI117" s="97">
        <v>97</v>
      </c>
      <c r="AJ117" s="111" t="s">
        <v>4541</v>
      </c>
      <c r="AK117" s="111">
        <v>-9000000</v>
      </c>
      <c r="AL117" s="97">
        <v>0</v>
      </c>
      <c r="AM117" s="97">
        <f t="shared" si="45"/>
        <v>961</v>
      </c>
      <c r="AN117" s="115">
        <f t="shared" si="12"/>
        <v>-8649000000</v>
      </c>
      <c r="AO117" s="97"/>
      <c r="AQ117" t="s">
        <v>25</v>
      </c>
    </row>
    <row r="118" spans="6:47">
      <c r="G118" s="94" t="s">
        <v>25</v>
      </c>
      <c r="H118" s="94"/>
      <c r="I118" s="94"/>
      <c r="J118" s="94"/>
      <c r="P118" s="112"/>
      <c r="Q118" s="112"/>
      <c r="R118" s="167"/>
      <c r="S118" s="206" t="s">
        <v>5653</v>
      </c>
      <c r="T118" s="206">
        <f>T117-13</f>
        <v>421</v>
      </c>
      <c r="U118" s="206" t="s">
        <v>5654</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2"/>
        <v>13357900000</v>
      </c>
      <c r="AO118" s="97"/>
    </row>
    <row r="119" spans="6:47">
      <c r="G119" s="94"/>
      <c r="H119" s="94"/>
      <c r="I119" s="94"/>
      <c r="J119" s="94"/>
      <c r="K119" s="166" t="s">
        <v>4480</v>
      </c>
      <c r="L119" s="166" t="s">
        <v>4481</v>
      </c>
      <c r="M119" s="166" t="s">
        <v>4392</v>
      </c>
      <c r="N119" s="54" t="s">
        <v>190</v>
      </c>
      <c r="R119" s="167" t="s">
        <v>25</v>
      </c>
      <c r="S119" s="206" t="s">
        <v>5655</v>
      </c>
      <c r="T119" s="206">
        <f>T118-1</f>
        <v>420</v>
      </c>
      <c r="U119" s="206" t="s">
        <v>5656</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5657</v>
      </c>
      <c r="T120" s="206">
        <f>T119-1</f>
        <v>419</v>
      </c>
      <c r="U120" s="206" t="s">
        <v>5705</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5710</v>
      </c>
      <c r="T121" s="206">
        <f>T120-53</f>
        <v>366</v>
      </c>
      <c r="U121" s="206" t="s">
        <v>6963</v>
      </c>
      <c r="V121" s="206">
        <v>1500</v>
      </c>
      <c r="W121" s="97">
        <f t="shared" si="50"/>
        <v>1943.9506849315069</v>
      </c>
      <c r="X121" s="32">
        <f t="shared" ref="X121:X124" si="62">W121*(1+$X$19/100)</f>
        <v>1982.829698630137</v>
      </c>
      <c r="Y121" s="32">
        <f t="shared" ref="Y121:Y124" si="63">W121*(1+$Y$19/100)</f>
        <v>2021.7087123287672</v>
      </c>
      <c r="Z121" s="94">
        <v>27349</v>
      </c>
      <c r="AA121" s="94"/>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5763</v>
      </c>
      <c r="T122" s="206">
        <f>T121-71</f>
        <v>295</v>
      </c>
      <c r="U122" s="206" t="s">
        <v>5767</v>
      </c>
      <c r="V122" s="206">
        <v>1354.1</v>
      </c>
      <c r="W122" s="97">
        <f t="shared" si="50"/>
        <v>1681.1170049315067</v>
      </c>
      <c r="X122" s="32">
        <f t="shared" si="62"/>
        <v>1714.739345030137</v>
      </c>
      <c r="Y122" s="32">
        <f t="shared" si="63"/>
        <v>1748.361685128767</v>
      </c>
      <c r="Z122" s="94"/>
      <c r="AA122" s="94">
        <v>22000</v>
      </c>
      <c r="AB122" s="94">
        <f>AA122*3</f>
        <v>66000</v>
      </c>
      <c r="AI122" s="119">
        <v>102</v>
      </c>
      <c r="AJ122" s="77" t="s">
        <v>4549</v>
      </c>
      <c r="AK122" s="77">
        <v>13071612</v>
      </c>
      <c r="AL122" s="119">
        <v>1</v>
      </c>
      <c r="AM122" s="119">
        <f t="shared" si="64"/>
        <v>955</v>
      </c>
      <c r="AN122" s="77">
        <f t="shared" si="65"/>
        <v>12483389460</v>
      </c>
      <c r="AO122" s="201" t="s">
        <v>4550</v>
      </c>
    </row>
    <row r="123" spans="6:47">
      <c r="F123" s="94"/>
      <c r="G123" s="94"/>
      <c r="H123" s="94"/>
      <c r="I123" s="94"/>
      <c r="J123" s="94"/>
      <c r="K123" s="19" t="s">
        <v>4354</v>
      </c>
      <c r="L123" s="167">
        <v>1100000</v>
      </c>
      <c r="M123" s="167">
        <v>4300000</v>
      </c>
      <c r="N123" s="166">
        <f t="shared" si="61"/>
        <v>290.90909090909093</v>
      </c>
      <c r="R123" s="167"/>
      <c r="S123" s="206" t="s">
        <v>5768</v>
      </c>
      <c r="T123" s="206">
        <f>T122-8</f>
        <v>287</v>
      </c>
      <c r="U123" s="206" t="s">
        <v>5784</v>
      </c>
      <c r="V123" s="206">
        <v>1266</v>
      </c>
      <c r="W123" s="97">
        <f t="shared" si="50"/>
        <v>1563.9713095890411</v>
      </c>
      <c r="X123" s="32">
        <f t="shared" si="62"/>
        <v>1595.250735780822</v>
      </c>
      <c r="Y123" s="32">
        <f t="shared" si="63"/>
        <v>1626.5301619726029</v>
      </c>
      <c r="Z123" s="94"/>
      <c r="AA123" s="94">
        <v>62174</v>
      </c>
      <c r="AB123" s="468">
        <f t="shared" ref="AB123:AB131" si="66">AA123*3</f>
        <v>186522</v>
      </c>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4371</v>
      </c>
      <c r="L124" s="167">
        <v>1100000</v>
      </c>
      <c r="M124" s="167">
        <v>3191000</v>
      </c>
      <c r="N124" s="166">
        <f t="shared" si="61"/>
        <v>190.09090909090909</v>
      </c>
      <c r="R124" s="167"/>
      <c r="S124" s="206" t="s">
        <v>5785</v>
      </c>
      <c r="T124" s="206">
        <f>T123-13</f>
        <v>274</v>
      </c>
      <c r="U124" s="206" t="s">
        <v>6466</v>
      </c>
      <c r="V124" s="206">
        <v>1275</v>
      </c>
      <c r="W124" s="97">
        <f t="shared" si="50"/>
        <v>1562.3745205479454</v>
      </c>
      <c r="X124" s="32">
        <f t="shared" si="62"/>
        <v>1593.6220109589044</v>
      </c>
      <c r="Y124" s="32">
        <f t="shared" si="63"/>
        <v>1624.8695013698632</v>
      </c>
      <c r="Z124" s="94"/>
      <c r="AA124" s="94">
        <v>6826</v>
      </c>
      <c r="AB124" s="468">
        <f t="shared" si="66"/>
        <v>20478</v>
      </c>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4477</v>
      </c>
      <c r="L125" s="167">
        <v>1100000</v>
      </c>
      <c r="M125" s="167">
        <v>5623000</v>
      </c>
      <c r="N125" s="166">
        <f t="shared" si="61"/>
        <v>411.18181818181819</v>
      </c>
      <c r="R125" s="167"/>
      <c r="S125" s="206" t="s">
        <v>6467</v>
      </c>
      <c r="T125" s="206">
        <f>T124-117</f>
        <v>157</v>
      </c>
      <c r="U125" s="206" t="s">
        <v>6468</v>
      </c>
      <c r="V125" s="206">
        <v>1310</v>
      </c>
      <c r="W125" s="97">
        <f t="shared" si="50"/>
        <v>1487.6862465753427</v>
      </c>
      <c r="X125" s="32">
        <f t="shared" ref="X125:X126" si="67">W125*(1+$X$19/100)</f>
        <v>1517.4399715068496</v>
      </c>
      <c r="Y125" s="32">
        <f t="shared" ref="Y125:Y126" si="68">W125*(1+$Y$19/100)</f>
        <v>1547.1936964383565</v>
      </c>
      <c r="Z125" s="94"/>
      <c r="AA125" s="94">
        <v>22240</v>
      </c>
      <c r="AB125" s="468">
        <f t="shared" si="66"/>
        <v>66720</v>
      </c>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6476</v>
      </c>
      <c r="T126" s="206">
        <f>T125-4</f>
        <v>153</v>
      </c>
      <c r="U126" s="206" t="s">
        <v>6612</v>
      </c>
      <c r="V126" s="206">
        <v>1388</v>
      </c>
      <c r="W126" s="97">
        <f t="shared" si="50"/>
        <v>1572.0069698630136</v>
      </c>
      <c r="X126" s="32">
        <f t="shared" si="67"/>
        <v>1603.4471092602739</v>
      </c>
      <c r="Y126" s="32">
        <f t="shared" si="68"/>
        <v>1634.8872486575342</v>
      </c>
      <c r="Z126" s="94"/>
      <c r="AA126" s="94">
        <v>356260</v>
      </c>
      <c r="AB126" s="468">
        <f t="shared" si="66"/>
        <v>1068780</v>
      </c>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4479</v>
      </c>
      <c r="L127" s="167">
        <v>1100000</v>
      </c>
      <c r="M127" s="167">
        <v>2904000</v>
      </c>
      <c r="N127" s="166">
        <f t="shared" si="61"/>
        <v>164</v>
      </c>
      <c r="R127" s="167"/>
      <c r="S127" s="206" t="s">
        <v>6618</v>
      </c>
      <c r="T127" s="206">
        <f>T126-39</f>
        <v>114</v>
      </c>
      <c r="U127" s="206" t="s">
        <v>6928</v>
      </c>
      <c r="V127" s="206">
        <v>1702</v>
      </c>
      <c r="W127" s="97">
        <f t="shared" si="50"/>
        <v>1876.7137972602741</v>
      </c>
      <c r="X127" s="32">
        <f t="shared" ref="X127:X144" si="69">W127*(1+$X$19/100)</f>
        <v>1914.2480732054796</v>
      </c>
      <c r="Y127" s="32">
        <f t="shared" ref="Y127:Y144" si="70">W127*(1+$Y$19/100)</f>
        <v>1951.7823491506851</v>
      </c>
      <c r="Z127" s="378"/>
      <c r="AA127" s="378">
        <v>1001</v>
      </c>
      <c r="AB127" s="468">
        <f t="shared" si="66"/>
        <v>3003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G128" s="94"/>
      <c r="H128" s="94"/>
      <c r="I128" s="94"/>
      <c r="J128" s="94"/>
      <c r="K128" s="54" t="s">
        <v>1068</v>
      </c>
      <c r="L128" s="167">
        <v>1100000</v>
      </c>
      <c r="M128" s="167">
        <v>3400000</v>
      </c>
      <c r="N128" s="166">
        <f t="shared" si="61"/>
        <v>209.09090909090909</v>
      </c>
      <c r="R128" s="167"/>
      <c r="S128" s="206" t="s">
        <v>6932</v>
      </c>
      <c r="T128" s="206">
        <f>T112-1086</f>
        <v>86</v>
      </c>
      <c r="U128" s="206" t="s">
        <v>6934</v>
      </c>
      <c r="V128" s="206">
        <v>1555</v>
      </c>
      <c r="W128" s="97">
        <f t="shared" si="50"/>
        <v>1681.2233972602742</v>
      </c>
      <c r="X128" s="32">
        <f t="shared" si="69"/>
        <v>1714.8478652054796</v>
      </c>
      <c r="Y128" s="32">
        <f t="shared" si="70"/>
        <v>1748.4723331506852</v>
      </c>
      <c r="Z128" s="412"/>
      <c r="AA128" s="412">
        <v>93469</v>
      </c>
      <c r="AB128" s="468">
        <f t="shared" si="66"/>
        <v>280407</v>
      </c>
      <c r="AC128" t="s">
        <v>25</v>
      </c>
      <c r="AI128" s="87">
        <v>108</v>
      </c>
      <c r="AJ128" s="88" t="s">
        <v>4559</v>
      </c>
      <c r="AK128" s="88">
        <v>39327293</v>
      </c>
      <c r="AL128" s="87">
        <v>4</v>
      </c>
      <c r="AM128" s="147">
        <f t="shared" si="71"/>
        <v>952</v>
      </c>
      <c r="AN128" s="186">
        <f t="shared" si="65"/>
        <v>37439582936</v>
      </c>
      <c r="AO128" s="87" t="s">
        <v>4566</v>
      </c>
    </row>
    <row r="129" spans="7:44">
      <c r="K129" s="224" t="s">
        <v>5352</v>
      </c>
      <c r="R129" s="167"/>
      <c r="S129" s="206" t="s">
        <v>6938</v>
      </c>
      <c r="T129" s="206">
        <f>T112-1100</f>
        <v>72</v>
      </c>
      <c r="U129" s="206" t="s">
        <v>6940</v>
      </c>
      <c r="V129" s="206">
        <v>1525</v>
      </c>
      <c r="W129" s="97">
        <f t="shared" si="50"/>
        <v>1632.4101369863015</v>
      </c>
      <c r="X129" s="32">
        <f t="shared" si="69"/>
        <v>1665.0583397260275</v>
      </c>
      <c r="Y129" s="32">
        <f t="shared" si="70"/>
        <v>1697.7065424657535</v>
      </c>
      <c r="Z129" s="416"/>
      <c r="AA129" s="416">
        <v>672591</v>
      </c>
      <c r="AB129" s="468">
        <f t="shared" si="66"/>
        <v>2017773</v>
      </c>
      <c r="AI129" s="87">
        <v>109</v>
      </c>
      <c r="AJ129" s="88" t="s">
        <v>4580</v>
      </c>
      <c r="AK129" s="88">
        <v>8749050</v>
      </c>
      <c r="AL129" s="87">
        <v>1</v>
      </c>
      <c r="AM129" s="87">
        <f t="shared" si="71"/>
        <v>948</v>
      </c>
      <c r="AN129" s="88">
        <f t="shared" si="65"/>
        <v>8294099400</v>
      </c>
      <c r="AO129" s="87" t="s">
        <v>4581</v>
      </c>
    </row>
    <row r="130" spans="7:44">
      <c r="K130" s="224" t="s">
        <v>4508</v>
      </c>
      <c r="R130" s="167"/>
      <c r="S130" s="206" t="s">
        <v>6941</v>
      </c>
      <c r="T130" s="206">
        <f>T112-1102</f>
        <v>70</v>
      </c>
      <c r="U130" s="206" t="s">
        <v>6942</v>
      </c>
      <c r="V130" s="206">
        <v>1541</v>
      </c>
      <c r="W130" s="97">
        <f t="shared" si="50"/>
        <v>1647.1727890410962</v>
      </c>
      <c r="X130" s="32">
        <f t="shared" si="69"/>
        <v>1680.1162448219181</v>
      </c>
      <c r="Y130" s="32">
        <f t="shared" si="70"/>
        <v>1713.0597006027401</v>
      </c>
      <c r="Z130" s="416"/>
      <c r="AA130" s="416">
        <v>227276</v>
      </c>
      <c r="AB130" s="468">
        <f t="shared" si="66"/>
        <v>681828</v>
      </c>
      <c r="AI130" s="97">
        <v>110</v>
      </c>
      <c r="AJ130" s="111" t="s">
        <v>4582</v>
      </c>
      <c r="AK130" s="111">
        <v>60000</v>
      </c>
      <c r="AL130" s="97">
        <v>1</v>
      </c>
      <c r="AM130" s="97">
        <f t="shared" si="71"/>
        <v>947</v>
      </c>
      <c r="AN130" s="115">
        <f t="shared" si="65"/>
        <v>56820000</v>
      </c>
      <c r="AO130" s="97" t="s">
        <v>4583</v>
      </c>
    </row>
    <row r="131" spans="7:44">
      <c r="K131" s="224" t="s">
        <v>4509</v>
      </c>
      <c r="P131" t="s">
        <v>25</v>
      </c>
      <c r="R131" s="167"/>
      <c r="S131" s="206" t="s">
        <v>6943</v>
      </c>
      <c r="T131" s="206">
        <f>T112-1103</f>
        <v>69</v>
      </c>
      <c r="U131" s="206" t="s">
        <v>6975</v>
      </c>
      <c r="V131" s="206">
        <v>1525</v>
      </c>
      <c r="W131" s="97">
        <f t="shared" si="50"/>
        <v>1628.9005479452055</v>
      </c>
      <c r="X131" s="32">
        <f t="shared" si="69"/>
        <v>1661.4785589041096</v>
      </c>
      <c r="Y131" s="32">
        <f t="shared" si="70"/>
        <v>1694.0565698630137</v>
      </c>
      <c r="Z131" s="414"/>
      <c r="AA131" s="414">
        <v>58273.334000000003</v>
      </c>
      <c r="AB131" s="468">
        <f t="shared" si="66"/>
        <v>174820.00200000001</v>
      </c>
      <c r="AI131" s="20">
        <v>111</v>
      </c>
      <c r="AJ131" s="115" t="s">
        <v>4591</v>
      </c>
      <c r="AK131" s="115">
        <v>4750000</v>
      </c>
      <c r="AL131" s="20">
        <v>0</v>
      </c>
      <c r="AM131" s="97">
        <f t="shared" si="71"/>
        <v>946</v>
      </c>
      <c r="AN131" s="115">
        <f t="shared" si="65"/>
        <v>4493500000</v>
      </c>
      <c r="AO131" s="20"/>
      <c r="AR131" t="s">
        <v>25</v>
      </c>
    </row>
    <row r="132" spans="7:44">
      <c r="R132" s="167"/>
      <c r="S132" s="206" t="s">
        <v>6966</v>
      </c>
      <c r="T132" s="206">
        <f>T112-1113</f>
        <v>59</v>
      </c>
      <c r="U132" s="206" t="s">
        <v>6967</v>
      </c>
      <c r="V132" s="206">
        <v>1580</v>
      </c>
      <c r="W132" s="97">
        <f t="shared" si="50"/>
        <v>1675.5272328767123</v>
      </c>
      <c r="X132" s="32">
        <f t="shared" si="69"/>
        <v>1709.0377775342465</v>
      </c>
      <c r="Y132" s="32">
        <f t="shared" si="70"/>
        <v>1742.5483221917809</v>
      </c>
      <c r="Z132" s="433">
        <v>45255</v>
      </c>
      <c r="AA132" s="433"/>
      <c r="AB132" s="468"/>
      <c r="AD132" t="s">
        <v>25</v>
      </c>
      <c r="AI132" s="87">
        <v>112</v>
      </c>
      <c r="AJ132" s="88" t="s">
        <v>4591</v>
      </c>
      <c r="AK132" s="88">
        <v>13101160</v>
      </c>
      <c r="AL132" s="87">
        <v>1</v>
      </c>
      <c r="AM132" s="87">
        <f t="shared" si="71"/>
        <v>946</v>
      </c>
      <c r="AN132" s="88">
        <f t="shared" si="65"/>
        <v>12393697360</v>
      </c>
      <c r="AO132" s="87" t="s">
        <v>4594</v>
      </c>
    </row>
    <row r="133" spans="7:44">
      <c r="R133" s="167"/>
      <c r="S133" s="206" t="s">
        <v>6968</v>
      </c>
      <c r="T133" s="206">
        <f>T112-1114</f>
        <v>58</v>
      </c>
      <c r="U133" s="206" t="s">
        <v>6969</v>
      </c>
      <c r="V133" s="206">
        <v>1560</v>
      </c>
      <c r="W133" s="97">
        <f t="shared" si="50"/>
        <v>1653.1213150684935</v>
      </c>
      <c r="X133" s="32">
        <f t="shared" si="69"/>
        <v>1686.1837413698634</v>
      </c>
      <c r="Y133" s="32">
        <f t="shared" si="70"/>
        <v>1719.2461676712333</v>
      </c>
      <c r="Z133" s="433">
        <v>48918</v>
      </c>
      <c r="AA133" s="433"/>
      <c r="AB133" s="468"/>
      <c r="AI133" s="20">
        <v>113</v>
      </c>
      <c r="AJ133" s="115" t="s">
        <v>4593</v>
      </c>
      <c r="AK133" s="115">
        <v>-980000</v>
      </c>
      <c r="AL133" s="20">
        <v>0</v>
      </c>
      <c r="AM133" s="97">
        <f t="shared" si="71"/>
        <v>945</v>
      </c>
      <c r="AN133" s="115">
        <f t="shared" si="65"/>
        <v>-926100000</v>
      </c>
      <c r="AO133" s="20"/>
    </row>
    <row r="134" spans="7:44">
      <c r="R134" s="167"/>
      <c r="S134" s="206" t="s">
        <v>6970</v>
      </c>
      <c r="T134" s="206">
        <f>T112-1117</f>
        <v>55</v>
      </c>
      <c r="U134" s="206" t="s">
        <v>6981</v>
      </c>
      <c r="V134" s="206">
        <v>1496</v>
      </c>
      <c r="W134" s="97">
        <f t="shared" si="50"/>
        <v>1581.8581041095892</v>
      </c>
      <c r="X134" s="32">
        <f t="shared" si="69"/>
        <v>1613.495266191781</v>
      </c>
      <c r="Y134" s="32">
        <f t="shared" si="70"/>
        <v>1645.1324282739729</v>
      </c>
      <c r="Z134" s="434">
        <v>83166</v>
      </c>
      <c r="AA134" s="434"/>
      <c r="AB134" s="468"/>
      <c r="AI134" s="87">
        <v>114</v>
      </c>
      <c r="AJ134" s="88" t="s">
        <v>4593</v>
      </c>
      <c r="AK134" s="88">
        <v>13301790</v>
      </c>
      <c r="AL134" s="87">
        <v>0</v>
      </c>
      <c r="AM134" s="87">
        <f t="shared" si="71"/>
        <v>945</v>
      </c>
      <c r="AN134" s="88">
        <f t="shared" si="65"/>
        <v>12570191550</v>
      </c>
      <c r="AO134" s="87" t="s">
        <v>4594</v>
      </c>
      <c r="AR134" t="s">
        <v>25</v>
      </c>
    </row>
    <row r="135" spans="7:44">
      <c r="G135" s="32" t="s">
        <v>4216</v>
      </c>
      <c r="H135" s="32"/>
      <c r="I135" s="32" t="s">
        <v>4358</v>
      </c>
      <c r="K135" s="94"/>
      <c r="L135" s="94"/>
      <c r="M135" s="94"/>
      <c r="R135" s="167"/>
      <c r="S135" s="206" t="s">
        <v>6990</v>
      </c>
      <c r="T135" s="206">
        <f>T112-1134</f>
        <v>38</v>
      </c>
      <c r="U135" s="206" t="s">
        <v>6991</v>
      </c>
      <c r="V135" s="206">
        <v>1495</v>
      </c>
      <c r="W135" s="97">
        <f t="shared" si="50"/>
        <v>1561.3042739726029</v>
      </c>
      <c r="X135" s="32">
        <f t="shared" ref="X135:X143" si="72">W135*(1+$X$19/100)</f>
        <v>1592.5303594520551</v>
      </c>
      <c r="Y135" s="32">
        <f t="shared" ref="Y135:Y143" si="73">W135*(1+$Y$19/100)</f>
        <v>1623.7564449315071</v>
      </c>
      <c r="Z135" s="441">
        <v>50661</v>
      </c>
      <c r="AA135" s="441"/>
      <c r="AB135" s="441"/>
      <c r="AD135" t="s">
        <v>25</v>
      </c>
      <c r="AI135" s="20">
        <v>115</v>
      </c>
      <c r="AJ135" s="115" t="s">
        <v>4593</v>
      </c>
      <c r="AK135" s="115">
        <v>404000</v>
      </c>
      <c r="AL135" s="20">
        <v>5</v>
      </c>
      <c r="AM135" s="97">
        <f t="shared" si="71"/>
        <v>945</v>
      </c>
      <c r="AN135" s="115">
        <f t="shared" si="65"/>
        <v>381780000</v>
      </c>
      <c r="AO135" s="20" t="s">
        <v>4600</v>
      </c>
    </row>
    <row r="136" spans="7:44">
      <c r="G136" s="32" t="e">
        <f>O22+O33+O48+#REF!</f>
        <v>#REF!</v>
      </c>
      <c r="H136" s="32" t="s">
        <v>5439</v>
      </c>
      <c r="I136" s="32">
        <f>O47</f>
        <v>0</v>
      </c>
      <c r="J136" s="112"/>
      <c r="K136" s="94"/>
      <c r="L136" s="94"/>
      <c r="M136" s="94"/>
      <c r="R136" s="167"/>
      <c r="S136" s="206" t="s">
        <v>6993</v>
      </c>
      <c r="T136" s="206">
        <f>T112-1135</f>
        <v>37</v>
      </c>
      <c r="U136" s="206" t="s">
        <v>7108</v>
      </c>
      <c r="V136" s="206">
        <v>1439</v>
      </c>
      <c r="W136" s="97">
        <f t="shared" si="50"/>
        <v>1501.7167452054798</v>
      </c>
      <c r="X136" s="32">
        <f t="shared" si="72"/>
        <v>1531.7510801095893</v>
      </c>
      <c r="Y136" s="32">
        <f t="shared" si="73"/>
        <v>1561.7854150136991</v>
      </c>
      <c r="Z136" s="441">
        <v>50767</v>
      </c>
      <c r="AA136" s="441"/>
      <c r="AB136" s="441"/>
      <c r="AI136" s="87">
        <v>116</v>
      </c>
      <c r="AJ136" s="88" t="s">
        <v>4609</v>
      </c>
      <c r="AK136" s="88">
        <v>4291628</v>
      </c>
      <c r="AL136" s="87">
        <v>2</v>
      </c>
      <c r="AM136" s="87">
        <f t="shared" si="71"/>
        <v>940</v>
      </c>
      <c r="AN136" s="88">
        <f t="shared" si="65"/>
        <v>4034130320</v>
      </c>
      <c r="AO136" s="87" t="s">
        <v>4610</v>
      </c>
    </row>
    <row r="137" spans="7:44">
      <c r="G137" s="32">
        <f>(N32+N23+N25+N30+N46+N47+N24+N31+N49+N51)/P48</f>
        <v>1970535.3314685314</v>
      </c>
      <c r="H137" s="276" t="s">
        <v>5440</v>
      </c>
      <c r="I137" s="32" t="e">
        <f>(N32+N48+N46+N33+N25+N22+N23+N24+N30+N31+#REF!+N49+N51)/P47</f>
        <v>#REF!</v>
      </c>
      <c r="J137" s="112"/>
      <c r="K137" s="94"/>
      <c r="L137" s="94" t="s">
        <v>25</v>
      </c>
      <c r="M137" s="94"/>
      <c r="R137" s="167"/>
      <c r="S137" s="206" t="s">
        <v>7085</v>
      </c>
      <c r="T137" s="206">
        <f>T112-1166</f>
        <v>6</v>
      </c>
      <c r="U137" s="206" t="s">
        <v>7092</v>
      </c>
      <c r="V137" s="206">
        <v>432.8</v>
      </c>
      <c r="W137" s="97">
        <f t="shared" si="50"/>
        <v>441.37062575342469</v>
      </c>
      <c r="X137" s="32">
        <f t="shared" si="72"/>
        <v>450.19803826849318</v>
      </c>
      <c r="Y137" s="32">
        <f t="shared" si="73"/>
        <v>459.02545078356167</v>
      </c>
      <c r="Z137" s="469"/>
      <c r="AA137" s="469"/>
      <c r="AB137" s="469">
        <v>90457</v>
      </c>
      <c r="AD137" t="s">
        <v>25</v>
      </c>
      <c r="AI137" s="20">
        <v>117</v>
      </c>
      <c r="AJ137" s="115" t="s">
        <v>4612</v>
      </c>
      <c r="AK137" s="115">
        <v>1000</v>
      </c>
      <c r="AL137" s="20">
        <v>5</v>
      </c>
      <c r="AM137" s="20">
        <f t="shared" si="71"/>
        <v>938</v>
      </c>
      <c r="AN137" s="115">
        <f t="shared" si="65"/>
        <v>938000</v>
      </c>
      <c r="AO137" s="20"/>
    </row>
    <row r="138" spans="7:44">
      <c r="G138" s="32" t="e">
        <f>G136+G137</f>
        <v>#REF!</v>
      </c>
      <c r="H138" s="32" t="s">
        <v>5441</v>
      </c>
      <c r="I138" s="32" t="e">
        <f>I136+I137</f>
        <v>#REF!</v>
      </c>
      <c r="J138" s="112"/>
      <c r="K138" s="94"/>
      <c r="L138" s="94"/>
      <c r="N138" s="94"/>
      <c r="P138" t="s">
        <v>25</v>
      </c>
      <c r="R138" s="167"/>
      <c r="S138" s="206" t="s">
        <v>7087</v>
      </c>
      <c r="T138" s="206">
        <f>T112-1169</f>
        <v>3</v>
      </c>
      <c r="U138" s="206" t="s">
        <v>7094</v>
      </c>
      <c r="V138" s="206">
        <v>432</v>
      </c>
      <c r="W138" s="97">
        <f t="shared" si="50"/>
        <v>439.56059178082194</v>
      </c>
      <c r="X138" s="32">
        <f t="shared" si="72"/>
        <v>448.35180361643836</v>
      </c>
      <c r="Y138" s="32">
        <f t="shared" si="73"/>
        <v>457.14301545205484</v>
      </c>
      <c r="Z138" s="419"/>
      <c r="AA138" s="419"/>
      <c r="AB138" s="419">
        <v>178399</v>
      </c>
      <c r="AI138" s="119">
        <v>118</v>
      </c>
      <c r="AJ138" s="77" t="s">
        <v>4620</v>
      </c>
      <c r="AK138" s="77">
        <v>8739459</v>
      </c>
      <c r="AL138" s="119">
        <v>2</v>
      </c>
      <c r="AM138" s="119">
        <f t="shared" si="71"/>
        <v>933</v>
      </c>
      <c r="AN138" s="77">
        <f t="shared" si="65"/>
        <v>8153915247</v>
      </c>
      <c r="AO138" s="119" t="s">
        <v>4581</v>
      </c>
    </row>
    <row r="139" spans="7:44">
      <c r="G139" s="32">
        <f>(X155+X156)/P48</f>
        <v>366628.61578228092</v>
      </c>
      <c r="H139" s="32" t="s">
        <v>5421</v>
      </c>
      <c r="I139" s="32">
        <f>(X155+X156)/P47</f>
        <v>18858.953977289988</v>
      </c>
      <c r="J139" s="112"/>
      <c r="K139" s="94"/>
      <c r="L139" s="94"/>
      <c r="M139" s="94"/>
      <c r="N139" s="94"/>
      <c r="O139" s="94"/>
      <c r="R139" s="167"/>
      <c r="S139" s="206" t="s">
        <v>7095</v>
      </c>
      <c r="T139" s="206">
        <f>T112-1170</f>
        <v>2</v>
      </c>
      <c r="U139" s="206" t="s">
        <v>7096</v>
      </c>
      <c r="V139" s="206">
        <v>433</v>
      </c>
      <c r="W139" s="97">
        <f t="shared" si="50"/>
        <v>440.24592876712336</v>
      </c>
      <c r="X139" s="32">
        <f t="shared" si="72"/>
        <v>449.05084734246583</v>
      </c>
      <c r="Y139" s="32">
        <f t="shared" si="73"/>
        <v>457.8557659178083</v>
      </c>
      <c r="Z139" s="471"/>
      <c r="AA139" s="471"/>
      <c r="AB139" s="471">
        <v>155070</v>
      </c>
      <c r="AI139" s="119">
        <v>119</v>
      </c>
      <c r="AJ139" s="77" t="s">
        <v>4621</v>
      </c>
      <c r="AK139" s="77">
        <v>17595278</v>
      </c>
      <c r="AL139" s="119">
        <v>1</v>
      </c>
      <c r="AM139" s="119">
        <f t="shared" si="71"/>
        <v>931</v>
      </c>
      <c r="AN139" s="77">
        <f t="shared" si="65"/>
        <v>16381203818</v>
      </c>
      <c r="AO139" s="119" t="s">
        <v>4623</v>
      </c>
      <c r="AR139" t="s">
        <v>25</v>
      </c>
    </row>
    <row r="140" spans="7:44">
      <c r="G140" s="32">
        <f>X153/P48</f>
        <v>2599658.460604141</v>
      </c>
      <c r="H140" s="32" t="s">
        <v>480</v>
      </c>
      <c r="I140" s="32">
        <f>X153/P47</f>
        <v>133723.43880086049</v>
      </c>
      <c r="J140" s="112"/>
      <c r="K140" s="94"/>
      <c r="L140" s="94"/>
      <c r="N140" s="94"/>
      <c r="R140" s="167"/>
      <c r="S140" s="206" t="s">
        <v>7098</v>
      </c>
      <c r="T140" s="206">
        <f>T112-1170</f>
        <v>2</v>
      </c>
      <c r="U140" s="206" t="s">
        <v>7100</v>
      </c>
      <c r="V140" s="206">
        <v>426.5</v>
      </c>
      <c r="W140" s="97">
        <f t="shared" si="50"/>
        <v>433.63715616438361</v>
      </c>
      <c r="X140" s="32">
        <f t="shared" si="72"/>
        <v>442.30989928767127</v>
      </c>
      <c r="Y140" s="32">
        <f t="shared" si="73"/>
        <v>450.98264241095899</v>
      </c>
      <c r="Z140" s="471"/>
      <c r="AA140" s="471"/>
      <c r="AB140" s="471">
        <v>135307</v>
      </c>
      <c r="AI140" s="119">
        <v>120</v>
      </c>
      <c r="AJ140" s="77" t="s">
        <v>4622</v>
      </c>
      <c r="AK140" s="77">
        <v>13335309</v>
      </c>
      <c r="AL140" s="119">
        <v>13</v>
      </c>
      <c r="AM140" s="119">
        <f t="shared" si="71"/>
        <v>930</v>
      </c>
      <c r="AN140" s="77">
        <f t="shared" si="65"/>
        <v>12401837370</v>
      </c>
      <c r="AO140" s="119" t="s">
        <v>4594</v>
      </c>
    </row>
    <row r="141" spans="7:44">
      <c r="G141" s="32" t="e">
        <f>G138-G139-G140</f>
        <v>#REF!</v>
      </c>
      <c r="H141" s="32" t="s">
        <v>5</v>
      </c>
      <c r="I141" s="32" t="e">
        <f>I138-I139-I140</f>
        <v>#REF!</v>
      </c>
      <c r="J141" s="112"/>
      <c r="K141" s="94"/>
      <c r="L141" s="94"/>
      <c r="M141" t="s">
        <v>25</v>
      </c>
      <c r="N141" s="94"/>
      <c r="R141" s="167"/>
      <c r="S141" s="206" t="s">
        <v>7101</v>
      </c>
      <c r="T141" s="206">
        <f>T112-1172</f>
        <v>0</v>
      </c>
      <c r="U141" s="206" t="s">
        <v>7106</v>
      </c>
      <c r="V141" s="206">
        <v>783</v>
      </c>
      <c r="W141" s="97">
        <f t="shared" si="50"/>
        <v>794.90160000000003</v>
      </c>
      <c r="X141" s="32">
        <f t="shared" si="72"/>
        <v>810.79963200000009</v>
      </c>
      <c r="Y141" s="32">
        <f t="shared" si="73"/>
        <v>826.69766400000003</v>
      </c>
      <c r="Z141" s="473"/>
      <c r="AA141" s="473"/>
      <c r="AB141" s="473"/>
      <c r="AC141" t="s">
        <v>25</v>
      </c>
      <c r="AI141" s="159">
        <v>121</v>
      </c>
      <c r="AJ141" s="216" t="s">
        <v>4672</v>
      </c>
      <c r="AK141" s="216">
        <v>50000000</v>
      </c>
      <c r="AL141" s="159">
        <v>11</v>
      </c>
      <c r="AM141" s="159">
        <f t="shared" si="71"/>
        <v>917</v>
      </c>
      <c r="AN141" s="216">
        <f t="shared" si="65"/>
        <v>45850000000</v>
      </c>
      <c r="AO141" s="159" t="s">
        <v>4673</v>
      </c>
      <c r="AQ141" t="s">
        <v>25</v>
      </c>
    </row>
    <row r="142" spans="7:44">
      <c r="N142" s="94"/>
      <c r="P142" t="s">
        <v>25</v>
      </c>
      <c r="R142" s="167"/>
      <c r="S142" s="206" t="s">
        <v>7101</v>
      </c>
      <c r="T142" s="206">
        <f>T112-1172</f>
        <v>0</v>
      </c>
      <c r="U142" s="206" t="s">
        <v>7107</v>
      </c>
      <c r="V142" s="206">
        <v>432</v>
      </c>
      <c r="W142" s="97">
        <f t="shared" si="50"/>
        <v>438.56640000000004</v>
      </c>
      <c r="X142" s="32">
        <f t="shared" si="72"/>
        <v>447.33772800000003</v>
      </c>
      <c r="Y142" s="32">
        <f t="shared" si="73"/>
        <v>456.10905600000007</v>
      </c>
      <c r="Z142" s="473"/>
      <c r="AA142" s="473"/>
      <c r="AB142" s="473">
        <v>241349</v>
      </c>
      <c r="AI142" s="20">
        <v>122</v>
      </c>
      <c r="AJ142" s="115" t="s">
        <v>957</v>
      </c>
      <c r="AK142" s="115">
        <v>30000</v>
      </c>
      <c r="AL142" s="20">
        <v>3</v>
      </c>
      <c r="AM142" s="20">
        <f t="shared" si="71"/>
        <v>906</v>
      </c>
      <c r="AN142" s="115">
        <f t="shared" si="65"/>
        <v>27180000</v>
      </c>
      <c r="AO142" s="20"/>
    </row>
    <row r="143" spans="7:44">
      <c r="N143" s="94"/>
      <c r="R143" s="167"/>
      <c r="S143" s="206"/>
      <c r="T143" s="206" t="s">
        <v>25</v>
      </c>
      <c r="U143" s="206" t="s">
        <v>25</v>
      </c>
      <c r="V143" s="206"/>
      <c r="W143" s="97" t="e">
        <f t="shared" si="50"/>
        <v>#VALUE!</v>
      </c>
      <c r="X143" s="32" t="e">
        <f t="shared" si="72"/>
        <v>#VALUE!</v>
      </c>
      <c r="Y143" s="32" t="e">
        <f t="shared" si="73"/>
        <v>#VALUE!</v>
      </c>
      <c r="Z143" s="94"/>
      <c r="AA143" s="94" t="s">
        <v>25</v>
      </c>
      <c r="AB143" s="353"/>
      <c r="AI143" s="20">
        <v>123</v>
      </c>
      <c r="AJ143" s="115" t="s">
        <v>4730</v>
      </c>
      <c r="AK143" s="115">
        <v>600000</v>
      </c>
      <c r="AL143" s="20">
        <v>1</v>
      </c>
      <c r="AM143" s="20">
        <f t="shared" si="71"/>
        <v>903</v>
      </c>
      <c r="AN143" s="115">
        <f t="shared" si="65"/>
        <v>541800000</v>
      </c>
      <c r="AO143" s="20"/>
    </row>
    <row r="144" spans="7:44">
      <c r="K144" s="94"/>
      <c r="L144" s="94"/>
      <c r="R144" s="167"/>
      <c r="S144" s="166"/>
      <c r="T144" s="166"/>
      <c r="U144" s="166" t="s">
        <v>25</v>
      </c>
      <c r="V144" s="166"/>
      <c r="W144" s="97">
        <f t="shared" si="50"/>
        <v>0</v>
      </c>
      <c r="X144" s="32">
        <f t="shared" si="69"/>
        <v>0</v>
      </c>
      <c r="Y144" s="32">
        <f t="shared" si="70"/>
        <v>0</v>
      </c>
      <c r="Z144" t="s">
        <v>25</v>
      </c>
      <c r="AA144" t="s">
        <v>25</v>
      </c>
      <c r="AB144" s="94" t="s">
        <v>25</v>
      </c>
      <c r="AI144" s="20">
        <v>124</v>
      </c>
      <c r="AJ144" s="115" t="s">
        <v>4733</v>
      </c>
      <c r="AK144" s="115">
        <v>30000</v>
      </c>
      <c r="AL144" s="20">
        <v>3</v>
      </c>
      <c r="AM144" s="20">
        <f t="shared" si="71"/>
        <v>902</v>
      </c>
      <c r="AN144" s="115">
        <f t="shared" si="65"/>
        <v>27060000</v>
      </c>
      <c r="AO144" s="20"/>
    </row>
    <row r="145" spans="5:45">
      <c r="R145" s="111">
        <f>SUM(N46:N53)-SUM(R112:R144)</f>
        <v>4585478207.3686695</v>
      </c>
      <c r="S145" s="110"/>
      <c r="T145" s="110"/>
      <c r="U145" s="110"/>
      <c r="V145" s="166"/>
      <c r="W145" s="97" t="s">
        <v>25</v>
      </c>
      <c r="X145" s="32"/>
      <c r="Y145" s="32"/>
      <c r="Z145" t="s">
        <v>25</v>
      </c>
      <c r="AA145" t="s">
        <v>25</v>
      </c>
      <c r="AB145" s="94"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t="s">
        <v>4511</v>
      </c>
      <c r="T147" s="32" t="s">
        <v>933</v>
      </c>
      <c r="U147" t="s">
        <v>25</v>
      </c>
      <c r="V147" s="94" t="s">
        <v>25</v>
      </c>
      <c r="W147" s="94" t="s">
        <v>25</v>
      </c>
      <c r="X147" s="94" t="s">
        <v>25</v>
      </c>
      <c r="Y147" s="120" t="s">
        <v>25</v>
      </c>
      <c r="Z147" t="s">
        <v>25</v>
      </c>
      <c r="AA147" t="s">
        <v>25</v>
      </c>
      <c r="AB147" s="94"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S148" s="32">
        <v>33288</v>
      </c>
      <c r="T148" s="167">
        <v>152128600.70081395</v>
      </c>
      <c r="U148"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t="s">
        <v>25</v>
      </c>
      <c r="W151" s="94"/>
      <c r="X151"/>
      <c r="Y151" t="s">
        <v>25</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s="94" t="s">
        <v>25</v>
      </c>
      <c r="S152" s="94"/>
      <c r="T152" s="94"/>
      <c r="U152" s="94"/>
      <c r="V152" s="279" t="s">
        <v>4405</v>
      </c>
      <c r="W152" s="279" t="s">
        <v>4418</v>
      </c>
      <c r="X152" s="279" t="s">
        <v>4419</v>
      </c>
      <c r="Y152" t="s">
        <v>25</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s="94"/>
      <c r="S153" s="94"/>
      <c r="T153" s="94"/>
      <c r="U153" s="120">
        <f>W154-W159</f>
        <v>2614095</v>
      </c>
      <c r="V153" s="279" t="s">
        <v>743</v>
      </c>
      <c r="W153" s="279">
        <v>1495942</v>
      </c>
      <c r="X153" s="88">
        <f>W153*$U$532</f>
        <v>3717511598.6639214</v>
      </c>
      <c r="Y153">
        <f>X153*100/$X$159</f>
        <v>34.62020097620718</v>
      </c>
      <c r="Z153" t="s">
        <v>25</v>
      </c>
      <c r="AA153" t="s">
        <v>25</v>
      </c>
      <c r="AB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120"/>
      <c r="V154" s="279" t="s">
        <v>4407</v>
      </c>
      <c r="W154" s="279">
        <v>2614095</v>
      </c>
      <c r="X154" s="88">
        <f>W154*$U$532</f>
        <v>6496193356.767417</v>
      </c>
      <c r="Y154" s="94">
        <f>X154*100/$X$159</f>
        <v>60.497328286055406</v>
      </c>
      <c r="Z154" t="s">
        <v>25</v>
      </c>
      <c r="AA154" t="s">
        <v>25</v>
      </c>
      <c r="AB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f>W153+2857</f>
        <v>1498799</v>
      </c>
      <c r="V155" s="279" t="s">
        <v>4406</v>
      </c>
      <c r="W155" s="279">
        <v>48659</v>
      </c>
      <c r="X155" s="88">
        <f>W155*$U$532</f>
        <v>120920728.79789975</v>
      </c>
      <c r="Y155" s="94">
        <f>X155*100/$X$159</f>
        <v>1.1261027227668354</v>
      </c>
      <c r="Z155" t="s">
        <v>25</v>
      </c>
      <c r="AB155" t="s">
        <v>25</v>
      </c>
      <c r="AI155" s="97">
        <v>135</v>
      </c>
      <c r="AJ155" s="111" t="s">
        <v>4799</v>
      </c>
      <c r="AK155" s="111">
        <v>250000</v>
      </c>
      <c r="AL155" s="97">
        <v>6</v>
      </c>
      <c r="AM155" s="20">
        <f t="shared" si="71"/>
        <v>853</v>
      </c>
      <c r="AN155" s="115">
        <f t="shared" si="76"/>
        <v>213250000</v>
      </c>
      <c r="AO155" s="20"/>
    </row>
    <row r="156" spans="5:45">
      <c r="G156" s="32" t="s">
        <v>6458</v>
      </c>
      <c r="H156" s="32">
        <v>4796613</v>
      </c>
      <c r="I156" s="206">
        <v>250296</v>
      </c>
      <c r="J156" s="206">
        <v>2687591</v>
      </c>
      <c r="K156" s="32">
        <v>140243</v>
      </c>
      <c r="L156" s="97">
        <f t="shared" si="74"/>
        <v>7484204</v>
      </c>
      <c r="M156" s="97">
        <f t="shared" si="75"/>
        <v>390539</v>
      </c>
      <c r="N156" s="94"/>
      <c r="R156" t="s">
        <v>25</v>
      </c>
      <c r="U156" s="94"/>
      <c r="V156" s="279" t="s">
        <v>1069</v>
      </c>
      <c r="W156" s="279">
        <v>162313</v>
      </c>
      <c r="X156" s="88">
        <f>W156*$U$532</f>
        <v>403358191.77076191</v>
      </c>
      <c r="Y156" s="94">
        <f>X156*100/$X$159</f>
        <v>3.7563680149705774</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U157" s="94">
        <f>W156+2977</f>
        <v>165290</v>
      </c>
      <c r="V157" s="279"/>
      <c r="W157" s="279"/>
      <c r="X157" s="279"/>
      <c r="Y157" s="113"/>
      <c r="Z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t="s">
        <v>25</v>
      </c>
      <c r="T158" t="s">
        <v>25</v>
      </c>
      <c r="U158" s="94"/>
      <c r="V158" s="87"/>
      <c r="W158" s="87">
        <f>SUM(W153:W156)</f>
        <v>4321009</v>
      </c>
      <c r="X158" s="87"/>
      <c r="Y158" s="112" t="s">
        <v>25</v>
      </c>
      <c r="Z158" t="s">
        <v>25</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t="s">
        <v>25</v>
      </c>
      <c r="V159" s="87"/>
      <c r="W159" s="87">
        <f>W158-V529</f>
        <v>0</v>
      </c>
      <c r="X159" s="140">
        <f>SUM(X153:X156)</f>
        <v>10737983876</v>
      </c>
      <c r="Y159" s="94"/>
      <c r="Z159" t="s">
        <v>25</v>
      </c>
      <c r="AA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t="s">
        <v>25</v>
      </c>
      <c r="V160" s="87"/>
      <c r="W160" s="87" t="s">
        <v>5815</v>
      </c>
      <c r="X160" s="140">
        <f>S171-X156</f>
        <v>45048838.229238093</v>
      </c>
      <c r="Y160" s="94"/>
      <c r="Z160" t="s">
        <v>25</v>
      </c>
      <c r="AA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t="s">
        <v>25</v>
      </c>
      <c r="S161" s="94"/>
      <c r="T161" s="94"/>
      <c r="U161" s="94" t="s">
        <v>25</v>
      </c>
      <c r="V161" s="87"/>
      <c r="W161" s="87" t="s">
        <v>5814</v>
      </c>
      <c r="X161" s="140">
        <f>X155-X160</f>
        <v>75871890.56866166</v>
      </c>
      <c r="Y161" s="94"/>
      <c r="AA161" t="s">
        <v>25</v>
      </c>
      <c r="AB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-58728808.767416954</v>
      </c>
      <c r="Y162" s="94"/>
      <c r="Z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9">V168*W168</f>
        <v>239024000</v>
      </c>
      <c r="Y168" s="97"/>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36" t="s">
        <v>4510</v>
      </c>
      <c r="S169" s="93">
        <f>SUM(N45:N53)</f>
        <v>6463195226</v>
      </c>
      <c r="U169" s="166" t="s">
        <v>4399</v>
      </c>
      <c r="V169" s="54">
        <v>5904</v>
      </c>
      <c r="W169" s="111">
        <v>237.148</v>
      </c>
      <c r="X169" s="111">
        <f t="shared" si="79"/>
        <v>1400121.7919999999</v>
      </c>
      <c r="Y169" s="97" t="s">
        <v>743</v>
      </c>
      <c r="AA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4408</v>
      </c>
      <c r="S170" s="93">
        <f>SUM(N21:N26)</f>
        <v>3852112298</v>
      </c>
      <c r="U170" s="166" t="s">
        <v>4205</v>
      </c>
      <c r="V170" s="166">
        <v>1000</v>
      </c>
      <c r="W170" s="111">
        <v>247.393</v>
      </c>
      <c r="X170" s="111">
        <f t="shared" si="79"/>
        <v>247393</v>
      </c>
      <c r="Y170" s="97" t="s">
        <v>743</v>
      </c>
      <c r="Z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4409</v>
      </c>
      <c r="S171" s="93">
        <f>SUM(N29:N33)</f>
        <v>448407030</v>
      </c>
      <c r="U171" s="382" t="s">
        <v>4443</v>
      </c>
      <c r="V171" s="382">
        <v>8071</v>
      </c>
      <c r="W171" s="90">
        <v>247.797</v>
      </c>
      <c r="X171" s="90">
        <f t="shared" si="79"/>
        <v>1999969.5870000001</v>
      </c>
      <c r="Y171" s="89" t="s">
        <v>4406</v>
      </c>
      <c r="Z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t="s">
        <v>4410</v>
      </c>
      <c r="S172" s="93">
        <f>N44</f>
        <v>62</v>
      </c>
      <c r="U172" s="166" t="s">
        <v>4443</v>
      </c>
      <c r="V172" s="166">
        <v>53672</v>
      </c>
      <c r="W172" s="111">
        <v>247.797</v>
      </c>
      <c r="X172" s="111">
        <f t="shared" si="79"/>
        <v>13299760.584000001</v>
      </c>
      <c r="Y172" s="97" t="s">
        <v>452</v>
      </c>
      <c r="Z172" t="s">
        <v>25</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4411</v>
      </c>
      <c r="S173" s="93">
        <f>N20</f>
        <v>11059</v>
      </c>
      <c r="U173" s="382" t="s">
        <v>4451</v>
      </c>
      <c r="V173" s="382">
        <v>4099</v>
      </c>
      <c r="W173" s="90">
        <v>243.93</v>
      </c>
      <c r="X173" s="90">
        <f t="shared" si="79"/>
        <v>999869.07000000007</v>
      </c>
      <c r="Y173" s="89" t="s">
        <v>4406</v>
      </c>
      <c r="AB173"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9"/>
        <v>2268792.9300000002</v>
      </c>
      <c r="Y174" s="97" t="s">
        <v>452</v>
      </c>
      <c r="AA174" t="s">
        <v>25</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c r="S175" s="93"/>
      <c r="T175" t="s">
        <v>25</v>
      </c>
      <c r="U175" s="382" t="s">
        <v>4455</v>
      </c>
      <c r="V175" s="382">
        <v>8334</v>
      </c>
      <c r="W175" s="90">
        <v>239.97</v>
      </c>
      <c r="X175" s="90">
        <f t="shared" si="79"/>
        <v>1999909.98</v>
      </c>
      <c r="Y175" s="89" t="s">
        <v>4406</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9"/>
        <v>6779621.4499999993</v>
      </c>
      <c r="Y176" s="97" t="s">
        <v>743</v>
      </c>
      <c r="Z176" s="120" t="s">
        <v>25</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t="s">
        <v>6491</v>
      </c>
      <c r="S177" s="93">
        <v>-23418</v>
      </c>
      <c r="T177" s="94"/>
      <c r="U177" s="382" t="s">
        <v>977</v>
      </c>
      <c r="V177" s="382">
        <v>12337</v>
      </c>
      <c r="W177" s="90">
        <v>243.16300000000001</v>
      </c>
      <c r="X177" s="90">
        <f t="shared" si="79"/>
        <v>2999901.9310000003</v>
      </c>
      <c r="Y177" s="89" t="s">
        <v>4406</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7079</v>
      </c>
      <c r="S178" s="93">
        <f>-(17985*P48)</f>
        <v>-25718550</v>
      </c>
      <c r="T178" s="94"/>
      <c r="U178" s="166" t="s">
        <v>4528</v>
      </c>
      <c r="V178" s="166">
        <v>-16118</v>
      </c>
      <c r="W178" s="111">
        <v>248.17</v>
      </c>
      <c r="X178" s="111">
        <f t="shared" si="79"/>
        <v>-4000004.0599999996</v>
      </c>
      <c r="Y178" s="97" t="s">
        <v>743</v>
      </c>
      <c r="Z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9"/>
        <v>25071596.019099999</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20" t="s">
        <v>25</v>
      </c>
      <c r="U180" s="166" t="s">
        <v>4553</v>
      </c>
      <c r="V180" s="166">
        <v>66606</v>
      </c>
      <c r="W180" s="111">
        <v>251.131</v>
      </c>
      <c r="X180" s="111">
        <f t="shared" si="79"/>
        <v>16726831.386</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9"/>
        <v>42236971.402499996</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9"/>
        <v>46460545.778700002</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c r="S183" s="93"/>
      <c r="T183" s="113"/>
      <c r="U183" s="166" t="s">
        <v>4559</v>
      </c>
      <c r="V183" s="166">
        <v>79720</v>
      </c>
      <c r="W183" s="111">
        <v>246.6568</v>
      </c>
      <c r="X183" s="111">
        <f t="shared" si="79"/>
        <v>19663480.096000001</v>
      </c>
      <c r="Y183" s="97" t="s">
        <v>452</v>
      </c>
      <c r="Z183" s="8" t="s">
        <v>25</v>
      </c>
      <c r="AA183" t="s">
        <v>25</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97" t="s">
        <v>4416</v>
      </c>
      <c r="S184" s="93">
        <f>SUM(S169:S183)</f>
        <v>10737983876</v>
      </c>
      <c r="U184" s="166" t="s">
        <v>4559</v>
      </c>
      <c r="V184" s="166">
        <v>79720</v>
      </c>
      <c r="W184" s="111">
        <v>246.6568</v>
      </c>
      <c r="X184" s="111">
        <f t="shared" si="79"/>
        <v>19663480.096000001</v>
      </c>
      <c r="Y184" s="97" t="s">
        <v>743</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94"/>
      <c r="U185" s="166" t="s">
        <v>4580</v>
      </c>
      <c r="V185" s="166">
        <v>17769</v>
      </c>
      <c r="W185" s="111">
        <v>246.17877999999999</v>
      </c>
      <c r="X185" s="111">
        <f t="shared" si="79"/>
        <v>4374350.7418200001</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9"/>
        <v>4374350.7418200001</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t="s">
        <v>8</v>
      </c>
      <c r="S187" s="206" t="s">
        <v>4406</v>
      </c>
      <c r="T187" s="206"/>
      <c r="U187" s="382" t="s">
        <v>4582</v>
      </c>
      <c r="V187" s="382">
        <v>12438</v>
      </c>
      <c r="W187" s="90">
        <v>241.20465999999999</v>
      </c>
      <c r="X187" s="90">
        <f t="shared" si="79"/>
        <v>3000103.5610799999</v>
      </c>
      <c r="Y187" s="89" t="s">
        <v>4406</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9"/>
        <v>6550390.2617999995</v>
      </c>
      <c r="Y188" s="97" t="s">
        <v>743</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9"/>
        <v>6550390.2617999995</v>
      </c>
      <c r="Y189" s="97" t="s">
        <v>452</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9"/>
        <v>6650769.9555000002</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9"/>
        <v>7054853.2560000001</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9"/>
        <v>2145690.19197</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9"/>
        <v>2145690.19197</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9"/>
        <v>4369608.0892000003</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9"/>
        <v>4369608.0892000003</v>
      </c>
      <c r="Y195" s="97" t="s">
        <v>452</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9"/>
        <v>8797507.7134000007</v>
      </c>
      <c r="Y196" s="97" t="s">
        <v>743</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9"/>
        <v>8797507.7134000007</v>
      </c>
      <c r="Y197" s="97" t="s">
        <v>452</v>
      </c>
      <c r="AA197" t="s">
        <v>25</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9"/>
        <v>6667631.2002000008</v>
      </c>
      <c r="Y198" s="97" t="s">
        <v>743</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9"/>
        <v>6667631.2002000008</v>
      </c>
      <c r="Y199" s="97" t="s">
        <v>452</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9"/>
        <v>8981064.8900000006</v>
      </c>
      <c r="Y200" s="97" t="s">
        <v>743</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9"/>
        <v>8981064.8900000006</v>
      </c>
      <c r="Y201" s="97" t="s">
        <v>452</v>
      </c>
      <c r="Z201" s="94" t="s">
        <v>25</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9"/>
        <v>9181620.3599999994</v>
      </c>
      <c r="Y202" s="97" t="s">
        <v>743</v>
      </c>
      <c r="Z202" t="s">
        <v>25</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9"/>
        <v>9181620.3599999994</v>
      </c>
      <c r="Y203" s="97" t="s">
        <v>452</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9"/>
        <v>11811186.475</v>
      </c>
      <c r="Y204" s="97" t="s">
        <v>743</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9"/>
        <v>11811186.475</v>
      </c>
      <c r="Y205" s="97" t="s">
        <v>452</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9"/>
        <v>41247832.126000002</v>
      </c>
      <c r="Y206" s="97" t="s">
        <v>743</v>
      </c>
      <c r="Z206" t="s">
        <v>25</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9"/>
        <v>41247832.126000002</v>
      </c>
      <c r="Y207" s="97" t="s">
        <v>452</v>
      </c>
      <c r="AB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9"/>
        <v>37328539.346100003</v>
      </c>
      <c r="Y208" s="97" t="s">
        <v>743</v>
      </c>
      <c r="AA208" t="s">
        <v>25</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9"/>
        <v>37328539.346100003</v>
      </c>
      <c r="Y209" s="97" t="s">
        <v>452</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9"/>
        <v>49999818</v>
      </c>
      <c r="Y210" s="97" t="s">
        <v>4675</v>
      </c>
      <c r="Z210" t="s">
        <v>25</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9"/>
        <v>651866.696</v>
      </c>
      <c r="Y211" s="97" t="s">
        <v>4676</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9"/>
        <v>-2999869.5300000003</v>
      </c>
      <c r="Y212" s="97" t="s">
        <v>4717</v>
      </c>
      <c r="AB212" t="s">
        <v>25</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9"/>
        <v>2999869.5300000003</v>
      </c>
      <c r="Y213" s="97" t="s">
        <v>4718</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9"/>
        <v>68429.399999999994</v>
      </c>
      <c r="Y214" s="97" t="s">
        <v>452</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9"/>
        <v>4000235.57626</v>
      </c>
      <c r="Y215" s="97" t="s">
        <v>452</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9"/>
        <v>2249737.4531999999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9" t="s">
        <v>5534</v>
      </c>
      <c r="S217" s="19" t="s">
        <v>5531</v>
      </c>
      <c r="T217" s="115">
        <v>3123901.3702000002</v>
      </c>
      <c r="U217" s="382" t="s">
        <v>4744</v>
      </c>
      <c r="V217" s="382">
        <v>-6209</v>
      </c>
      <c r="W217" s="90">
        <v>273.79649999999998</v>
      </c>
      <c r="X217" s="90">
        <f t="shared" si="79"/>
        <v>-1700002.4685</v>
      </c>
      <c r="Y217" s="89" t="s">
        <v>6639</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5862</v>
      </c>
      <c r="S218" s="187" t="s">
        <v>5606</v>
      </c>
      <c r="T218" s="186">
        <v>-322076.40905199997</v>
      </c>
      <c r="U218" s="206" t="s">
        <v>4744</v>
      </c>
      <c r="V218" s="206">
        <v>-8014</v>
      </c>
      <c r="W218" s="111">
        <v>273.79649999999998</v>
      </c>
      <c r="X218" s="111">
        <f t="shared" si="79"/>
        <v>-2194205.1510000001</v>
      </c>
      <c r="Y218" s="97" t="s">
        <v>743</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9"/>
        <v>-2512356.6839999999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9"/>
        <v>297616.79550000001</v>
      </c>
      <c r="Y220" s="97" t="s">
        <v>452</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5635</v>
      </c>
      <c r="S221" s="187" t="s">
        <v>5630</v>
      </c>
      <c r="T221" s="186">
        <v>-1500000</v>
      </c>
      <c r="U221" s="382" t="s">
        <v>964</v>
      </c>
      <c r="V221" s="382">
        <v>-4017</v>
      </c>
      <c r="W221" s="90">
        <v>273.79649999999998</v>
      </c>
      <c r="X221" s="90">
        <f t="shared" si="79"/>
        <v>-1099840.5404999999</v>
      </c>
      <c r="Y221" s="89" t="s">
        <v>4406</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9"/>
        <v>1099840.5404999999</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9"/>
        <v>889938.98070000007</v>
      </c>
      <c r="Y223" s="97" t="s">
        <v>452</v>
      </c>
      <c r="Z223" t="s">
        <v>25</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9"/>
        <v>29999874.727419998</v>
      </c>
      <c r="Y224" s="97" t="s">
        <v>1069</v>
      </c>
      <c r="Z224" t="s">
        <v>25</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87" t="s">
        <v>5811</v>
      </c>
      <c r="S225" s="187" t="s">
        <v>5807</v>
      </c>
      <c r="T225" s="186">
        <v>33832510.64875</v>
      </c>
      <c r="U225" s="206" t="s">
        <v>4779</v>
      </c>
      <c r="V225" s="206">
        <v>3407</v>
      </c>
      <c r="W225" s="111">
        <v>293.43799999999999</v>
      </c>
      <c r="X225" s="111">
        <f t="shared" si="79"/>
        <v>999743.26599999995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5828</v>
      </c>
      <c r="S226" s="187" t="s">
        <v>5825</v>
      </c>
      <c r="T226" s="186">
        <v>21634932</v>
      </c>
      <c r="U226" s="206" t="s">
        <v>4780</v>
      </c>
      <c r="V226" s="206">
        <v>68796</v>
      </c>
      <c r="W226" s="111">
        <v>293.53250000000003</v>
      </c>
      <c r="X226" s="111">
        <f t="shared" si="79"/>
        <v>20193861.870000001</v>
      </c>
      <c r="Y226" s="97" t="s">
        <v>743</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4732</v>
      </c>
      <c r="S227" s="187" t="s">
        <v>5825</v>
      </c>
      <c r="T227" s="186">
        <v>-22520813.151772</v>
      </c>
      <c r="U227" s="206" t="s">
        <v>4780</v>
      </c>
      <c r="V227" s="206">
        <v>154791</v>
      </c>
      <c r="W227" s="111">
        <v>293.53250000000003</v>
      </c>
      <c r="X227" s="111">
        <f t="shared" si="79"/>
        <v>45436189.207500003</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6405</v>
      </c>
      <c r="S228" s="19" t="s">
        <v>6403</v>
      </c>
      <c r="T228" s="115">
        <v>-6000000</v>
      </c>
      <c r="U228" s="206" t="s">
        <v>4780</v>
      </c>
      <c r="V228" s="206">
        <v>-11923</v>
      </c>
      <c r="W228" s="111">
        <v>293.53250000000003</v>
      </c>
      <c r="X228" s="111">
        <f t="shared" si="79"/>
        <v>-3499787.9975000005</v>
      </c>
      <c r="Y228" s="97" t="s">
        <v>452</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5372</v>
      </c>
      <c r="S229" s="187" t="s">
        <v>6492</v>
      </c>
      <c r="T229" s="186">
        <v>130888.351165</v>
      </c>
      <c r="U229" s="206" t="s">
        <v>4792</v>
      </c>
      <c r="V229" s="206">
        <v>8424</v>
      </c>
      <c r="W229" s="111">
        <v>299.15170000000001</v>
      </c>
      <c r="X229" s="111">
        <f t="shared" si="79"/>
        <v>2520053.9208</v>
      </c>
      <c r="Y229" s="97" t="s">
        <v>452</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6600</v>
      </c>
      <c r="S230" s="187" t="s">
        <v>6596</v>
      </c>
      <c r="T230" s="186">
        <v>50000000</v>
      </c>
      <c r="U230" s="206" t="s">
        <v>4827</v>
      </c>
      <c r="V230" s="206">
        <v>15943</v>
      </c>
      <c r="W230" s="111">
        <v>307.34415000000001</v>
      </c>
      <c r="X230" s="111">
        <f t="shared" si="79"/>
        <v>4899987.78345</v>
      </c>
      <c r="Y230" s="97" t="s">
        <v>452</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t="s">
        <v>6627</v>
      </c>
      <c r="S231" s="19" t="s">
        <v>6626</v>
      </c>
      <c r="T231" s="115">
        <v>96000</v>
      </c>
      <c r="U231" s="206" t="s">
        <v>4840</v>
      </c>
      <c r="V231" s="206">
        <v>3741</v>
      </c>
      <c r="W231" s="111">
        <v>307.34415000000001</v>
      </c>
      <c r="X231" s="111">
        <f t="shared" si="79"/>
        <v>1149774.4651500001</v>
      </c>
      <c r="Y231" s="97" t="s">
        <v>452</v>
      </c>
      <c r="AA231" t="s">
        <v>25</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87" t="s">
        <v>7057</v>
      </c>
      <c r="S232" s="187" t="s">
        <v>7054</v>
      </c>
      <c r="T232" s="186">
        <v>-40615000</v>
      </c>
      <c r="U232" s="206" t="s">
        <v>4845</v>
      </c>
      <c r="V232" s="206">
        <v>-6207</v>
      </c>
      <c r="W232" s="111">
        <v>322.214</v>
      </c>
      <c r="X232" s="111">
        <f t="shared" si="79"/>
        <v>-1999982.298</v>
      </c>
      <c r="Y232" s="97" t="s">
        <v>743</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187" t="s">
        <v>7088</v>
      </c>
      <c r="S233" s="187" t="s">
        <v>7087</v>
      </c>
      <c r="T233" s="186">
        <v>7300000</v>
      </c>
      <c r="U233" s="206" t="s">
        <v>4845</v>
      </c>
      <c r="V233" s="206">
        <v>6207</v>
      </c>
      <c r="W233" s="111">
        <v>322.214</v>
      </c>
      <c r="X233" s="111">
        <f t="shared" si="79"/>
        <v>1999982.298</v>
      </c>
      <c r="Y233" s="97" t="s">
        <v>4406</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19"/>
      <c r="S234" s="19"/>
      <c r="T234" s="115"/>
      <c r="U234" s="206" t="s">
        <v>4799</v>
      </c>
      <c r="V234" s="206">
        <v>776</v>
      </c>
      <c r="W234" s="111">
        <v>322.214</v>
      </c>
      <c r="X234" s="111">
        <f t="shared" si="79"/>
        <v>250038.06400000001</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19"/>
      <c r="S235" s="19"/>
      <c r="T235" s="115"/>
      <c r="U235" s="206" t="s">
        <v>4867</v>
      </c>
      <c r="V235" s="206">
        <v>1524</v>
      </c>
      <c r="W235" s="111">
        <v>314.95999999999998</v>
      </c>
      <c r="X235" s="111">
        <f t="shared" si="79"/>
        <v>479999.04</v>
      </c>
      <c r="Y235" s="97" t="s">
        <v>1069</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206" t="s">
        <v>25</v>
      </c>
      <c r="S236" s="206"/>
      <c r="T236" s="111"/>
      <c r="U236" s="206" t="s">
        <v>4874</v>
      </c>
      <c r="V236" s="206">
        <v>4435</v>
      </c>
      <c r="W236" s="111">
        <v>316.4375</v>
      </c>
      <c r="X236" s="111">
        <f t="shared" si="79"/>
        <v>1403400.3125</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206"/>
      <c r="S237" s="206"/>
      <c r="T237" s="111">
        <f>SUM(T189:T236)</f>
        <v>127637957.13209102</v>
      </c>
      <c r="U237" s="206" t="s">
        <v>4877</v>
      </c>
      <c r="V237" s="206">
        <v>624</v>
      </c>
      <c r="W237" s="111">
        <v>320.5</v>
      </c>
      <c r="X237" s="111">
        <f t="shared" si="79"/>
        <v>199992</v>
      </c>
      <c r="Y237" s="97" t="s">
        <v>452</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9"/>
        <v>344859.3</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R239" s="94"/>
      <c r="U239" s="206" t="s">
        <v>4887</v>
      </c>
      <c r="V239" s="206">
        <v>2820</v>
      </c>
      <c r="W239" s="111">
        <v>319.1096</v>
      </c>
      <c r="X239" s="111">
        <f t="shared" si="79"/>
        <v>899889.07200000004</v>
      </c>
      <c r="Y239" s="97" t="s">
        <v>452</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4" t="s">
        <v>25</v>
      </c>
      <c r="S240" s="94" t="s">
        <v>25</v>
      </c>
      <c r="U240" s="206" t="s">
        <v>4890</v>
      </c>
      <c r="V240" s="206">
        <v>1145</v>
      </c>
      <c r="W240" s="111">
        <v>325.44</v>
      </c>
      <c r="X240" s="111">
        <f t="shared" si="79"/>
        <v>372628.8</v>
      </c>
      <c r="Y240" s="97" t="s">
        <v>452</v>
      </c>
      <c r="Z240" t="s">
        <v>25</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4" t="s">
        <v>25</v>
      </c>
      <c r="S241" s="94" t="s">
        <v>25</v>
      </c>
      <c r="T241" t="s">
        <v>25</v>
      </c>
      <c r="U241" s="206" t="s">
        <v>4898</v>
      </c>
      <c r="V241" s="206">
        <v>20153</v>
      </c>
      <c r="W241" s="111">
        <v>322</v>
      </c>
      <c r="X241" s="111">
        <f t="shared" si="79"/>
        <v>6489266</v>
      </c>
      <c r="Y241" s="97" t="s">
        <v>452</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T242" t="s">
        <v>25</v>
      </c>
      <c r="U242" s="206" t="s">
        <v>4908</v>
      </c>
      <c r="V242" s="206">
        <v>93720</v>
      </c>
      <c r="W242" s="111">
        <v>325.435</v>
      </c>
      <c r="X242" s="111">
        <f t="shared" si="79"/>
        <v>30499768.199999999</v>
      </c>
      <c r="Y242" s="97" t="s">
        <v>1069</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743</v>
      </c>
      <c r="S243" s="97"/>
      <c r="T243" t="s">
        <v>25</v>
      </c>
      <c r="U243" s="206" t="s">
        <v>4908</v>
      </c>
      <c r="V243" s="206">
        <v>20895</v>
      </c>
      <c r="W243" s="111">
        <v>325.435</v>
      </c>
      <c r="X243" s="111">
        <f t="shared" si="79"/>
        <v>6799964.3250000002</v>
      </c>
      <c r="Y243" s="97" t="s">
        <v>743</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9"/>
        <v>849710.78500000003</v>
      </c>
      <c r="Y244" s="97" t="s">
        <v>743</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4430</v>
      </c>
      <c r="S245" s="93">
        <v>1400000</v>
      </c>
      <c r="U245" s="206" t="s">
        <v>4923</v>
      </c>
      <c r="V245" s="206">
        <v>6750</v>
      </c>
      <c r="W245" s="111">
        <v>339.3</v>
      </c>
      <c r="X245" s="111">
        <f t="shared" si="79"/>
        <v>2290275</v>
      </c>
      <c r="Y245" s="97" t="s">
        <v>743</v>
      </c>
      <c r="AB245" t="s">
        <v>25</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4205</v>
      </c>
      <c r="S246" s="93">
        <v>247393</v>
      </c>
      <c r="T246" t="s">
        <v>25</v>
      </c>
      <c r="U246" s="206" t="s">
        <v>4931</v>
      </c>
      <c r="V246" s="206">
        <v>1850</v>
      </c>
      <c r="W246" s="111">
        <v>334.10050000000001</v>
      </c>
      <c r="X246" s="111">
        <f t="shared" si="79"/>
        <v>618085.92500000005</v>
      </c>
      <c r="Y246" s="97" t="s">
        <v>452</v>
      </c>
      <c r="Z246" t="s">
        <v>25</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4204</v>
      </c>
      <c r="S247" s="93">
        <v>6780000</v>
      </c>
      <c r="U247" s="206" t="s">
        <v>4931</v>
      </c>
      <c r="V247" s="206">
        <v>-1194</v>
      </c>
      <c r="W247" s="111">
        <v>335</v>
      </c>
      <c r="X247" s="111">
        <f t="shared" si="79"/>
        <v>-399990</v>
      </c>
      <c r="Y247" s="97" t="s">
        <v>4406</v>
      </c>
      <c r="Z247" t="s">
        <v>25</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4528</v>
      </c>
      <c r="S248" s="93">
        <v>-4000000</v>
      </c>
      <c r="U248" s="206" t="s">
        <v>4931</v>
      </c>
      <c r="V248" s="206">
        <v>1194</v>
      </c>
      <c r="W248" s="111">
        <v>335</v>
      </c>
      <c r="X248" s="111">
        <f t="shared" si="79"/>
        <v>399990</v>
      </c>
      <c r="Y248" s="97" t="s">
        <v>743</v>
      </c>
      <c r="AI248" s="97">
        <v>228</v>
      </c>
      <c r="AJ248" s="111" t="s">
        <v>5820</v>
      </c>
      <c r="AK248" s="111">
        <v>150000</v>
      </c>
      <c r="AL248" s="97">
        <v>10</v>
      </c>
      <c r="AM248" s="20">
        <f t="shared" si="86"/>
        <v>242</v>
      </c>
      <c r="AN248" s="115"/>
      <c r="AO248" s="20"/>
    </row>
    <row r="249" spans="7:47">
      <c r="G249" s="206" t="s">
        <v>5728</v>
      </c>
      <c r="H249" s="111">
        <v>2893243.5730909999</v>
      </c>
      <c r="R249" s="97" t="s">
        <v>4553</v>
      </c>
      <c r="S249" s="93">
        <v>16727037</v>
      </c>
      <c r="U249" s="206" t="s">
        <v>4938</v>
      </c>
      <c r="V249" s="206">
        <v>433</v>
      </c>
      <c r="W249" s="111">
        <v>345.68</v>
      </c>
      <c r="X249" s="111">
        <f t="shared" si="79"/>
        <v>149679.44</v>
      </c>
      <c r="Y249" s="97" t="s">
        <v>743</v>
      </c>
      <c r="AI249" s="97">
        <v>229</v>
      </c>
      <c r="AJ249" s="111" t="s">
        <v>5825</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9"/>
        <v>20104984.479020003</v>
      </c>
      <c r="Y250" s="97" t="s">
        <v>452</v>
      </c>
      <c r="AI250" s="97">
        <v>230</v>
      </c>
      <c r="AJ250" s="111" t="s">
        <v>5836</v>
      </c>
      <c r="AK250" s="111">
        <v>100000000</v>
      </c>
      <c r="AL250" s="97">
        <v>0</v>
      </c>
      <c r="AM250" s="20">
        <f t="shared" si="86"/>
        <v>231</v>
      </c>
      <c r="AN250" s="115"/>
      <c r="AO250" s="20" t="s">
        <v>5837</v>
      </c>
    </row>
    <row r="251" spans="7:47" ht="30">
      <c r="G251" s="206" t="s">
        <v>5734</v>
      </c>
      <c r="H251" s="111">
        <v>275021.925965</v>
      </c>
      <c r="K251" t="s">
        <v>25</v>
      </c>
      <c r="R251" s="97" t="s">
        <v>4559</v>
      </c>
      <c r="S251" s="93">
        <v>19663646</v>
      </c>
      <c r="U251" s="206" t="s">
        <v>4946</v>
      </c>
      <c r="V251" s="206">
        <v>-57212</v>
      </c>
      <c r="W251" s="111">
        <v>368.45400000000001</v>
      </c>
      <c r="X251" s="111">
        <f t="shared" si="79"/>
        <v>-21079990.248</v>
      </c>
      <c r="Y251" s="97" t="s">
        <v>452</v>
      </c>
      <c r="AI251" s="97">
        <v>231</v>
      </c>
      <c r="AJ251" s="111" t="s">
        <v>5836</v>
      </c>
      <c r="AK251" s="111">
        <v>-100000000</v>
      </c>
      <c r="AL251" s="97">
        <v>1</v>
      </c>
      <c r="AM251" s="20">
        <f t="shared" si="86"/>
        <v>231</v>
      </c>
      <c r="AN251" s="115"/>
      <c r="AO251" s="261" t="s">
        <v>5838</v>
      </c>
    </row>
    <row r="252" spans="7:47">
      <c r="G252" s="206" t="s">
        <v>5739</v>
      </c>
      <c r="H252" s="111">
        <v>327451.9203</v>
      </c>
      <c r="R252" s="97" t="s">
        <v>4580</v>
      </c>
      <c r="S252" s="93">
        <v>4374525</v>
      </c>
      <c r="U252" s="206" t="s">
        <v>4947</v>
      </c>
      <c r="V252" s="206">
        <v>-15881</v>
      </c>
      <c r="W252" s="111">
        <v>374.61599999999999</v>
      </c>
      <c r="X252" s="111">
        <f t="shared" si="79"/>
        <v>-5949276.6959999995</v>
      </c>
      <c r="Y252" s="97" t="s">
        <v>452</v>
      </c>
      <c r="AI252" s="97">
        <v>232</v>
      </c>
      <c r="AJ252" s="111" t="s">
        <v>5839</v>
      </c>
      <c r="AK252" s="111">
        <v>90000000</v>
      </c>
      <c r="AL252" s="97">
        <v>0</v>
      </c>
      <c r="AM252" s="20">
        <f t="shared" si="86"/>
        <v>230</v>
      </c>
      <c r="AN252" s="115"/>
      <c r="AO252" s="20"/>
    </row>
    <row r="253" spans="7:47" ht="30">
      <c r="G253" s="206" t="s">
        <v>5749</v>
      </c>
      <c r="H253" s="111">
        <v>260081.94096800001</v>
      </c>
      <c r="O253" t="s">
        <v>25</v>
      </c>
      <c r="R253" s="97" t="s">
        <v>4591</v>
      </c>
      <c r="S253" s="93">
        <v>6550580</v>
      </c>
      <c r="U253" s="206" t="s">
        <v>4953</v>
      </c>
      <c r="V253" s="206">
        <v>-41289</v>
      </c>
      <c r="W253" s="111">
        <v>372.27</v>
      </c>
      <c r="X253" s="111">
        <f t="shared" si="79"/>
        <v>-15370656.029999999</v>
      </c>
      <c r="Y253" s="97" t="s">
        <v>452</v>
      </c>
      <c r="AI253" s="97">
        <v>233</v>
      </c>
      <c r="AJ253" s="111" t="s">
        <v>5839</v>
      </c>
      <c r="AK253" s="111">
        <v>-90000000</v>
      </c>
      <c r="AL253" s="97">
        <v>1</v>
      </c>
      <c r="AM253" s="20">
        <f t="shared" si="86"/>
        <v>230</v>
      </c>
      <c r="AN253" s="115"/>
      <c r="AO253" s="261" t="s">
        <v>5840</v>
      </c>
      <c r="AR253" t="s">
        <v>25</v>
      </c>
      <c r="AT253" t="s">
        <v>25</v>
      </c>
    </row>
    <row r="254" spans="7:47">
      <c r="G254" s="206" t="s">
        <v>5757</v>
      </c>
      <c r="H254" s="111">
        <v>2909284.5308940001</v>
      </c>
      <c r="P254" t="s">
        <v>25</v>
      </c>
      <c r="R254" s="97" t="s">
        <v>4593</v>
      </c>
      <c r="S254" s="93">
        <v>6650895</v>
      </c>
      <c r="U254" s="206" t="s">
        <v>4959</v>
      </c>
      <c r="V254" s="206">
        <v>13563</v>
      </c>
      <c r="W254" s="111">
        <v>365.69799999999998</v>
      </c>
      <c r="X254" s="111">
        <f t="shared" si="79"/>
        <v>4959961.9739999995</v>
      </c>
      <c r="Y254" s="97" t="s">
        <v>452</v>
      </c>
      <c r="AI254" s="97">
        <v>234</v>
      </c>
      <c r="AJ254" s="111" t="s">
        <v>5841</v>
      </c>
      <c r="AK254" s="111">
        <v>30000000</v>
      </c>
      <c r="AL254" s="97">
        <v>0</v>
      </c>
      <c r="AM254" s="20">
        <f t="shared" si="86"/>
        <v>229</v>
      </c>
      <c r="AN254" s="115"/>
      <c r="AO254" s="261"/>
    </row>
    <row r="255" spans="7:47" ht="30">
      <c r="G255" s="206" t="s">
        <v>5758</v>
      </c>
      <c r="H255" s="111">
        <v>37723205.094084002</v>
      </c>
      <c r="R255" s="97" t="s">
        <v>4609</v>
      </c>
      <c r="S255" s="93">
        <v>2145814</v>
      </c>
      <c r="U255" s="206" t="s">
        <v>4959</v>
      </c>
      <c r="V255" s="206">
        <v>27344</v>
      </c>
      <c r="W255" s="111">
        <v>365.69799999999998</v>
      </c>
      <c r="X255" s="111">
        <f t="shared" si="79"/>
        <v>9999646.1119999997</v>
      </c>
      <c r="Y255" s="97" t="s">
        <v>452</v>
      </c>
      <c r="AI255" s="97">
        <v>235</v>
      </c>
      <c r="AJ255" s="111" t="s">
        <v>5841</v>
      </c>
      <c r="AK255" s="111">
        <v>-30000000</v>
      </c>
      <c r="AL255" s="97">
        <v>3</v>
      </c>
      <c r="AM255" s="20">
        <f t="shared" si="86"/>
        <v>229</v>
      </c>
      <c r="AN255" s="115"/>
      <c r="AO255" s="261" t="s">
        <v>5842</v>
      </c>
    </row>
    <row r="256" spans="7:47" ht="30">
      <c r="G256" s="206" t="s">
        <v>5759</v>
      </c>
      <c r="H256" s="111">
        <v>1500094.75168</v>
      </c>
      <c r="R256" s="97" t="s">
        <v>4620</v>
      </c>
      <c r="S256" s="93">
        <v>4369730</v>
      </c>
      <c r="U256" s="206" t="s">
        <v>4966</v>
      </c>
      <c r="V256" s="206">
        <v>-103145</v>
      </c>
      <c r="W256" s="111">
        <v>393.334</v>
      </c>
      <c r="X256" s="111">
        <f t="shared" si="79"/>
        <v>-40570435.43</v>
      </c>
      <c r="Y256" s="36" t="s">
        <v>4971</v>
      </c>
      <c r="AI256" s="97">
        <v>236</v>
      </c>
      <c r="AJ256" s="111" t="s">
        <v>5857</v>
      </c>
      <c r="AK256" s="111">
        <v>50000000</v>
      </c>
      <c r="AL256" s="97">
        <v>1</v>
      </c>
      <c r="AM256" s="20">
        <f t="shared" si="86"/>
        <v>226</v>
      </c>
      <c r="AN256" s="115"/>
      <c r="AO256" s="261"/>
    </row>
    <row r="257" spans="7:46" ht="30">
      <c r="G257" s="206" t="s">
        <v>5760</v>
      </c>
      <c r="H257" s="111">
        <v>7230628.4378079996</v>
      </c>
      <c r="J257" t="s">
        <v>25</v>
      </c>
      <c r="P257" t="s">
        <v>25</v>
      </c>
      <c r="R257" s="97" t="s">
        <v>4622</v>
      </c>
      <c r="S257" s="93">
        <v>8739459</v>
      </c>
      <c r="T257" t="s">
        <v>25</v>
      </c>
      <c r="U257" s="206" t="s">
        <v>4966</v>
      </c>
      <c r="V257" s="206">
        <v>-369</v>
      </c>
      <c r="W257" s="111">
        <v>393.334</v>
      </c>
      <c r="X257" s="111">
        <f t="shared" si="79"/>
        <v>-145140.24600000001</v>
      </c>
      <c r="Y257" s="36" t="s">
        <v>5043</v>
      </c>
      <c r="AI257" s="97">
        <v>237</v>
      </c>
      <c r="AJ257" s="111" t="s">
        <v>5858</v>
      </c>
      <c r="AK257" s="111">
        <v>-50000000</v>
      </c>
      <c r="AL257" s="97">
        <v>5</v>
      </c>
      <c r="AM257" s="20">
        <f t="shared" si="86"/>
        <v>225</v>
      </c>
      <c r="AN257" s="115"/>
      <c r="AO257" s="261" t="s">
        <v>5859</v>
      </c>
      <c r="AQ257" t="s">
        <v>25</v>
      </c>
    </row>
    <row r="258" spans="7:46">
      <c r="G258" s="206" t="s">
        <v>5762</v>
      </c>
      <c r="H258" s="111">
        <v>29767389.390390001</v>
      </c>
      <c r="R258" s="97" t="s">
        <v>4631</v>
      </c>
      <c r="S258" s="93">
        <v>6667654</v>
      </c>
      <c r="U258" s="206" t="s">
        <v>4966</v>
      </c>
      <c r="V258" s="206">
        <v>-889</v>
      </c>
      <c r="W258" s="111">
        <v>393.334</v>
      </c>
      <c r="X258" s="111">
        <f t="shared" si="79"/>
        <v>-349673.92599999998</v>
      </c>
      <c r="Y258" s="36" t="s">
        <v>5044</v>
      </c>
      <c r="AI258" s="97">
        <v>238</v>
      </c>
      <c r="AJ258" s="111" t="s">
        <v>6390</v>
      </c>
      <c r="AK258" s="111">
        <v>10000</v>
      </c>
      <c r="AL258" s="97">
        <v>1</v>
      </c>
      <c r="AM258" s="20">
        <f t="shared" si="86"/>
        <v>220</v>
      </c>
      <c r="AN258" s="115"/>
      <c r="AO258" s="261"/>
    </row>
    <row r="259" spans="7:46" ht="15" customHeight="1">
      <c r="G259" s="206" t="s">
        <v>5764</v>
      </c>
      <c r="H259" s="111">
        <v>151560.25597</v>
      </c>
      <c r="R259" s="97" t="s">
        <v>4639</v>
      </c>
      <c r="S259" s="93">
        <v>8981245</v>
      </c>
      <c r="U259" s="206" t="s">
        <v>4975</v>
      </c>
      <c r="V259" s="206">
        <v>2546</v>
      </c>
      <c r="W259" s="111">
        <v>393</v>
      </c>
      <c r="X259" s="111">
        <f t="shared" si="79"/>
        <v>1000578</v>
      </c>
      <c r="Y259" s="36" t="s">
        <v>452</v>
      </c>
      <c r="AI259" s="97">
        <v>239</v>
      </c>
      <c r="AJ259" s="111" t="s">
        <v>6393</v>
      </c>
      <c r="AK259" s="111">
        <v>50000000</v>
      </c>
      <c r="AL259" s="97">
        <v>43</v>
      </c>
      <c r="AM259" s="20">
        <f t="shared" si="86"/>
        <v>219</v>
      </c>
      <c r="AN259" s="115"/>
      <c r="AO259" s="261" t="s">
        <v>5342</v>
      </c>
    </row>
    <row r="260" spans="7:46">
      <c r="G260" s="206" t="s">
        <v>5765</v>
      </c>
      <c r="H260" s="111">
        <v>481318.88078800001</v>
      </c>
      <c r="J260" t="s">
        <v>25</v>
      </c>
      <c r="R260" s="97" t="s">
        <v>4643</v>
      </c>
      <c r="S260" s="93">
        <v>9181756</v>
      </c>
      <c r="U260" s="206" t="s">
        <v>4976</v>
      </c>
      <c r="V260" s="206">
        <v>1034</v>
      </c>
      <c r="W260" s="111">
        <v>386.608</v>
      </c>
      <c r="X260" s="111">
        <f t="shared" si="79"/>
        <v>399752.67200000002</v>
      </c>
      <c r="Y260" s="36" t="s">
        <v>452</v>
      </c>
      <c r="AI260" s="97">
        <v>240</v>
      </c>
      <c r="AJ260" s="111" t="s">
        <v>6448</v>
      </c>
      <c r="AK260" s="111">
        <v>50000000</v>
      </c>
      <c r="AL260" s="97">
        <v>10</v>
      </c>
      <c r="AM260" s="20">
        <f t="shared" si="86"/>
        <v>176</v>
      </c>
      <c r="AN260" s="115"/>
      <c r="AO260" s="261" t="s">
        <v>6449</v>
      </c>
    </row>
    <row r="261" spans="7:46">
      <c r="G261" s="206" t="s">
        <v>5768</v>
      </c>
      <c r="H261" s="111">
        <v>146277.56820000001</v>
      </c>
      <c r="P261" t="s">
        <v>25</v>
      </c>
      <c r="R261" s="97" t="s">
        <v>4646</v>
      </c>
      <c r="S261" s="93">
        <v>11811208</v>
      </c>
      <c r="T261" t="s">
        <v>25</v>
      </c>
      <c r="U261" s="206" t="s">
        <v>4983</v>
      </c>
      <c r="V261" s="206">
        <v>300</v>
      </c>
      <c r="W261" s="111">
        <v>400</v>
      </c>
      <c r="X261" s="111">
        <f t="shared" si="79"/>
        <v>120000</v>
      </c>
      <c r="Y261" s="36" t="s">
        <v>452</v>
      </c>
      <c r="AI261" s="97">
        <v>241</v>
      </c>
      <c r="AJ261" s="111" t="s">
        <v>6450</v>
      </c>
      <c r="AK261" s="111">
        <v>8200000</v>
      </c>
      <c r="AL261" s="97">
        <v>29</v>
      </c>
      <c r="AM261" s="20">
        <f t="shared" si="86"/>
        <v>166</v>
      </c>
      <c r="AN261" s="115"/>
      <c r="AO261" s="261" t="s">
        <v>6449</v>
      </c>
      <c r="AS261" t="s">
        <v>25</v>
      </c>
      <c r="AT261" t="s">
        <v>25</v>
      </c>
    </row>
    <row r="262" spans="7:46">
      <c r="G262" s="206" t="s">
        <v>5780</v>
      </c>
      <c r="H262" s="111">
        <v>424693.40162399999</v>
      </c>
      <c r="J262" t="s">
        <v>25</v>
      </c>
      <c r="R262" s="97" t="s">
        <v>4659</v>
      </c>
      <c r="S262" s="93">
        <v>41248054</v>
      </c>
      <c r="T262" t="s">
        <v>25</v>
      </c>
      <c r="U262" s="206" t="s">
        <v>4991</v>
      </c>
      <c r="V262" s="206">
        <v>782</v>
      </c>
      <c r="W262" s="111">
        <v>409</v>
      </c>
      <c r="X262" s="111">
        <f t="shared" si="79"/>
        <v>319838</v>
      </c>
      <c r="Y262" s="36" t="s">
        <v>743</v>
      </c>
      <c r="AI262" s="97">
        <v>242</v>
      </c>
      <c r="AJ262" s="111" t="s">
        <v>6486</v>
      </c>
      <c r="AK262" s="111">
        <v>-180000000</v>
      </c>
      <c r="AL262" s="97">
        <v>16</v>
      </c>
      <c r="AM262" s="20">
        <f t="shared" si="86"/>
        <v>137</v>
      </c>
      <c r="AN262" s="115"/>
      <c r="AO262" s="261" t="s">
        <v>6490</v>
      </c>
    </row>
    <row r="263" spans="7:46" ht="17.25" customHeight="1">
      <c r="G263" s="206" t="s">
        <v>5783</v>
      </c>
      <c r="H263" s="111">
        <v>558320.40202399995</v>
      </c>
      <c r="J263" t="s">
        <v>25</v>
      </c>
      <c r="R263" s="97" t="s">
        <v>4666</v>
      </c>
      <c r="S263" s="93">
        <v>37328780</v>
      </c>
      <c r="U263" s="206" t="s">
        <v>4995</v>
      </c>
      <c r="V263" s="206">
        <v>1220</v>
      </c>
      <c r="W263" s="111">
        <v>409.9</v>
      </c>
      <c r="X263" s="111">
        <f t="shared" si="79"/>
        <v>500078</v>
      </c>
      <c r="Y263" s="36" t="s">
        <v>743</v>
      </c>
      <c r="AI263" s="97">
        <v>243</v>
      </c>
      <c r="AJ263" s="111" t="s">
        <v>6596</v>
      </c>
      <c r="AK263" s="111">
        <v>60000000</v>
      </c>
      <c r="AL263" s="97">
        <v>6</v>
      </c>
      <c r="AM263" s="20">
        <f t="shared" si="86"/>
        <v>121</v>
      </c>
      <c r="AN263" s="115"/>
      <c r="AO263" s="261" t="s">
        <v>6597</v>
      </c>
      <c r="AT263" t="s">
        <v>25</v>
      </c>
    </row>
    <row r="264" spans="7:46">
      <c r="G264" s="206" t="s">
        <v>5785</v>
      </c>
      <c r="H264" s="111">
        <v>207642.22201140001</v>
      </c>
      <c r="J264" t="s">
        <v>25</v>
      </c>
      <c r="R264" s="97" t="s">
        <v>4744</v>
      </c>
      <c r="S264" s="93">
        <v>-2194100</v>
      </c>
      <c r="U264" s="206" t="s">
        <v>4997</v>
      </c>
      <c r="V264" s="206">
        <v>1285</v>
      </c>
      <c r="W264" s="111">
        <v>388.84</v>
      </c>
      <c r="X264" s="111">
        <f t="shared" si="79"/>
        <v>499659.39999999997</v>
      </c>
      <c r="Y264" s="36" t="s">
        <v>452</v>
      </c>
      <c r="AI264" s="97">
        <v>244</v>
      </c>
      <c r="AJ264" s="111" t="s">
        <v>6605</v>
      </c>
      <c r="AK264" s="111">
        <v>5000</v>
      </c>
      <c r="AL264" s="97">
        <v>8</v>
      </c>
      <c r="AM264" s="20">
        <f t="shared" si="86"/>
        <v>115</v>
      </c>
      <c r="AN264" s="115"/>
      <c r="AO264" s="261" t="s">
        <v>6449</v>
      </c>
    </row>
    <row r="265" spans="7:46">
      <c r="G265" s="279" t="s">
        <v>5818</v>
      </c>
      <c r="H265" s="88">
        <v>637977.33504399995</v>
      </c>
      <c r="R265" s="97" t="s">
        <v>4780</v>
      </c>
      <c r="S265" s="93">
        <v>20193916</v>
      </c>
      <c r="U265" s="206" t="s">
        <v>4988</v>
      </c>
      <c r="V265" s="206">
        <v>1924</v>
      </c>
      <c r="W265" s="111">
        <v>386.69600000000003</v>
      </c>
      <c r="X265" s="111">
        <f t="shared" si="79"/>
        <v>744003.10400000005</v>
      </c>
      <c r="Y265" s="36" t="s">
        <v>452</v>
      </c>
      <c r="AI265" s="97">
        <v>245</v>
      </c>
      <c r="AJ265" s="111" t="s">
        <v>6611</v>
      </c>
      <c r="AK265" s="111">
        <v>102750000</v>
      </c>
      <c r="AL265" s="97">
        <v>5</v>
      </c>
      <c r="AM265" s="20">
        <f t="shared" si="86"/>
        <v>107</v>
      </c>
      <c r="AN265" s="115"/>
      <c r="AO265" s="261"/>
    </row>
    <row r="266" spans="7:46" ht="30">
      <c r="G266" s="206" t="s">
        <v>5819</v>
      </c>
      <c r="H266" s="111">
        <v>466552.25632400002</v>
      </c>
      <c r="R266" s="97" t="s">
        <v>4845</v>
      </c>
      <c r="S266" s="93">
        <v>-2000000</v>
      </c>
      <c r="U266" s="206" t="s">
        <v>5013</v>
      </c>
      <c r="V266" s="206">
        <v>165</v>
      </c>
      <c r="W266" s="111">
        <v>393.5</v>
      </c>
      <c r="X266" s="111">
        <f t="shared" si="79"/>
        <v>64927.5</v>
      </c>
      <c r="Y266" s="36" t="s">
        <v>452</v>
      </c>
      <c r="AI266" s="97">
        <v>246</v>
      </c>
      <c r="AJ266" s="111" t="s">
        <v>6618</v>
      </c>
      <c r="AK266" s="111">
        <v>-60000000</v>
      </c>
      <c r="AL266" s="97">
        <v>42</v>
      </c>
      <c r="AM266" s="20">
        <f t="shared" si="86"/>
        <v>102</v>
      </c>
      <c r="AN266" s="115"/>
      <c r="AO266" s="261" t="s">
        <v>6624</v>
      </c>
    </row>
    <row r="267" spans="7:46" ht="20.25" customHeight="1">
      <c r="G267" s="206" t="s">
        <v>5820</v>
      </c>
      <c r="H267" s="111">
        <v>189134.85153000001</v>
      </c>
      <c r="J267" t="s">
        <v>25</v>
      </c>
      <c r="R267" s="97" t="s">
        <v>4908</v>
      </c>
      <c r="S267" s="93">
        <v>6800000</v>
      </c>
      <c r="T267" t="s">
        <v>25</v>
      </c>
      <c r="U267" s="206" t="s">
        <v>5018</v>
      </c>
      <c r="V267" s="206">
        <v>-34859</v>
      </c>
      <c r="W267" s="111">
        <v>403.1585</v>
      </c>
      <c r="X267" s="111">
        <f t="shared" si="79"/>
        <v>-14053702.1515</v>
      </c>
      <c r="Y267" s="36" t="s">
        <v>5021</v>
      </c>
      <c r="AI267" s="97">
        <v>247</v>
      </c>
      <c r="AJ267" s="111" t="s">
        <v>6938</v>
      </c>
      <c r="AK267" s="111">
        <v>50000</v>
      </c>
      <c r="AL267" s="97">
        <v>59</v>
      </c>
      <c r="AM267" s="20">
        <f t="shared" si="86"/>
        <v>60</v>
      </c>
      <c r="AN267" s="115"/>
      <c r="AO267" s="261" t="s">
        <v>6449</v>
      </c>
      <c r="AT267" t="s">
        <v>25</v>
      </c>
    </row>
    <row r="268" spans="7:46">
      <c r="G268" s="206" t="s">
        <v>5822</v>
      </c>
      <c r="H268" s="111">
        <v>564888.82799599995</v>
      </c>
      <c r="R268" s="97" t="s">
        <v>4915</v>
      </c>
      <c r="S268" s="93">
        <v>850000</v>
      </c>
      <c r="U268" s="206" t="s">
        <v>4989</v>
      </c>
      <c r="V268" s="206">
        <v>8476</v>
      </c>
      <c r="W268" s="111">
        <v>419.49900000000002</v>
      </c>
      <c r="X268" s="111">
        <f t="shared" si="79"/>
        <v>3555673.5240000002</v>
      </c>
      <c r="Y268" s="36" t="s">
        <v>5027</v>
      </c>
      <c r="AI268" s="97">
        <v>248</v>
      </c>
      <c r="AJ268" s="111" t="s">
        <v>7077</v>
      </c>
      <c r="AK268" s="111">
        <v>300000</v>
      </c>
      <c r="AL268" s="97">
        <v>1</v>
      </c>
      <c r="AM268" s="20">
        <f t="shared" si="86"/>
        <v>1</v>
      </c>
      <c r="AN268" s="115"/>
      <c r="AO268" s="261"/>
    </row>
    <row r="269" spans="7:46" ht="21.75" customHeight="1">
      <c r="G269" s="206" t="s">
        <v>5857</v>
      </c>
      <c r="H269" s="111">
        <v>259993.58394100002</v>
      </c>
      <c r="J269" t="s">
        <v>25</v>
      </c>
      <c r="R269" s="97" t="s">
        <v>4923</v>
      </c>
      <c r="S269" s="93">
        <v>2290500</v>
      </c>
      <c r="U269" s="206" t="s">
        <v>5039</v>
      </c>
      <c r="V269" s="206">
        <v>903</v>
      </c>
      <c r="W269" s="111">
        <v>442.77379999999999</v>
      </c>
      <c r="X269" s="111">
        <f t="shared" si="79"/>
        <v>399824.7414</v>
      </c>
      <c r="Y269" s="36" t="s">
        <v>743</v>
      </c>
      <c r="AI269" s="97"/>
      <c r="AJ269" s="111"/>
      <c r="AK269" s="111"/>
      <c r="AL269" s="97"/>
      <c r="AM269" s="20">
        <f t="shared" si="86"/>
        <v>0</v>
      </c>
      <c r="AN269" s="115"/>
      <c r="AO269" s="261"/>
    </row>
    <row r="270" spans="7:46">
      <c r="G270" s="206" t="s">
        <v>5858</v>
      </c>
      <c r="H270" s="111">
        <v>269955.31205999997</v>
      </c>
      <c r="R270" s="97" t="s">
        <v>4931</v>
      </c>
      <c r="S270" s="93">
        <v>400000</v>
      </c>
      <c r="T270" t="s">
        <v>25</v>
      </c>
      <c r="U270" s="206" t="s">
        <v>5042</v>
      </c>
      <c r="V270" s="206">
        <v>113</v>
      </c>
      <c r="W270" s="111">
        <v>442.48200000000003</v>
      </c>
      <c r="X270" s="111">
        <f t="shared" ref="X270:X351" si="88">V270*W270</f>
        <v>50000.466</v>
      </c>
      <c r="Y270" s="36" t="s">
        <v>743</v>
      </c>
      <c r="AI270" s="97"/>
      <c r="AJ270" s="111"/>
      <c r="AK270" s="111"/>
      <c r="AL270" s="97"/>
      <c r="AM270" s="20">
        <f t="shared" si="86"/>
        <v>0</v>
      </c>
      <c r="AN270" s="115"/>
      <c r="AO270" s="20"/>
    </row>
    <row r="271" spans="7:46">
      <c r="G271" s="206" t="s">
        <v>6399</v>
      </c>
      <c r="H271" s="111">
        <v>560534.38387200003</v>
      </c>
      <c r="R271" s="97" t="s">
        <v>4938</v>
      </c>
      <c r="S271" s="93">
        <v>150000</v>
      </c>
      <c r="U271" s="206" t="s">
        <v>5052</v>
      </c>
      <c r="V271" s="206">
        <v>671</v>
      </c>
      <c r="W271" s="111">
        <v>447</v>
      </c>
      <c r="X271" s="111">
        <f t="shared" si="88"/>
        <v>299937</v>
      </c>
      <c r="Y271" s="36" t="s">
        <v>743</v>
      </c>
      <c r="AD271" t="s">
        <v>25</v>
      </c>
      <c r="AI271" s="97"/>
      <c r="AJ271" s="111"/>
      <c r="AK271" s="111"/>
      <c r="AL271" s="97"/>
      <c r="AM271" s="20">
        <f t="shared" si="86"/>
        <v>0</v>
      </c>
      <c r="AN271" s="115"/>
      <c r="AO271" s="20"/>
      <c r="AS271" t="s">
        <v>25</v>
      </c>
    </row>
    <row r="272" spans="7:46">
      <c r="G272" s="206" t="s">
        <v>6401</v>
      </c>
      <c r="H272" s="111">
        <v>581484.96802499995</v>
      </c>
      <c r="R272" s="97" t="s">
        <v>4966</v>
      </c>
      <c r="S272" s="93">
        <v>-144950</v>
      </c>
      <c r="U272" s="206" t="s">
        <v>5054</v>
      </c>
      <c r="V272" s="206">
        <v>7</v>
      </c>
      <c r="W272" s="111">
        <v>465.31200000000001</v>
      </c>
      <c r="X272" s="111">
        <f t="shared" si="88"/>
        <v>3257.1840000000002</v>
      </c>
      <c r="Y272" s="36" t="s">
        <v>452</v>
      </c>
      <c r="AI272" s="97"/>
      <c r="AJ272" s="111"/>
      <c r="AK272" s="111"/>
      <c r="AL272" s="97"/>
      <c r="AM272" s="20">
        <f t="shared" si="86"/>
        <v>0</v>
      </c>
      <c r="AN272" s="115"/>
      <c r="AO272" s="20"/>
    </row>
    <row r="273" spans="7:41">
      <c r="G273" s="206" t="s">
        <v>6403</v>
      </c>
      <c r="H273" s="111">
        <v>2136964.3409779998</v>
      </c>
      <c r="J273" t="s">
        <v>25</v>
      </c>
      <c r="R273" s="97" t="s">
        <v>4991</v>
      </c>
      <c r="S273" s="93">
        <v>320000</v>
      </c>
      <c r="U273" s="206" t="s">
        <v>5058</v>
      </c>
      <c r="V273" s="206">
        <v>12950</v>
      </c>
      <c r="W273" s="111">
        <v>463.31599999999997</v>
      </c>
      <c r="X273" s="111">
        <f t="shared" si="88"/>
        <v>5999942.1999999993</v>
      </c>
      <c r="Y273" s="36" t="s">
        <v>452</v>
      </c>
      <c r="AI273" s="97"/>
      <c r="AJ273" s="111"/>
      <c r="AK273" s="111">
        <v>0</v>
      </c>
      <c r="AL273" s="97"/>
      <c r="AM273" s="20">
        <f t="shared" si="86"/>
        <v>0</v>
      </c>
      <c r="AN273" s="115">
        <f t="shared" si="87"/>
        <v>0</v>
      </c>
      <c r="AO273" s="20"/>
    </row>
    <row r="274" spans="7:41">
      <c r="G274" s="206" t="s">
        <v>6406</v>
      </c>
      <c r="H274" s="111">
        <v>593783.22629999998</v>
      </c>
      <c r="J274" t="s">
        <v>25</v>
      </c>
      <c r="R274" s="97" t="s">
        <v>4995</v>
      </c>
      <c r="S274" s="93">
        <v>500000</v>
      </c>
      <c r="T274" t="s">
        <v>25</v>
      </c>
      <c r="U274" s="206" t="s">
        <v>5060</v>
      </c>
      <c r="V274" s="206">
        <v>37</v>
      </c>
      <c r="W274" s="111">
        <v>463.315</v>
      </c>
      <c r="X274" s="111">
        <f t="shared" si="88"/>
        <v>17142.654999999999</v>
      </c>
      <c r="Y274" s="36" t="s">
        <v>452</v>
      </c>
      <c r="AI274" s="97"/>
      <c r="AJ274" s="111"/>
      <c r="AK274" s="111"/>
      <c r="AL274" s="97">
        <v>0</v>
      </c>
      <c r="AM274" s="20">
        <f t="shared" si="86"/>
        <v>0</v>
      </c>
      <c r="AN274" s="115">
        <f t="shared" si="87"/>
        <v>0</v>
      </c>
      <c r="AO274" s="20"/>
    </row>
    <row r="275" spans="7:41">
      <c r="G275" s="206" t="s">
        <v>6410</v>
      </c>
      <c r="H275" s="111">
        <v>469469.96222000004</v>
      </c>
      <c r="J275" t="s">
        <v>25</v>
      </c>
      <c r="K275" t="s">
        <v>25</v>
      </c>
      <c r="R275" s="97" t="s">
        <v>5039</v>
      </c>
      <c r="S275" s="93">
        <v>400000</v>
      </c>
      <c r="T275" t="s">
        <v>25</v>
      </c>
      <c r="U275" s="206" t="s">
        <v>5061</v>
      </c>
      <c r="V275" s="206">
        <v>19</v>
      </c>
      <c r="W275" s="111">
        <v>434.3</v>
      </c>
      <c r="X275" s="111">
        <f t="shared" si="88"/>
        <v>8251.7000000000007</v>
      </c>
      <c r="Y275" s="36" t="s">
        <v>452</v>
      </c>
      <c r="Z275" t="s">
        <v>25</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5042</v>
      </c>
      <c r="S276" s="93">
        <v>50000</v>
      </c>
      <c r="T276" t="s">
        <v>25</v>
      </c>
      <c r="U276" s="206" t="s">
        <v>5063</v>
      </c>
      <c r="V276" s="206">
        <v>16</v>
      </c>
      <c r="W276" s="111">
        <v>439</v>
      </c>
      <c r="X276" s="111">
        <f t="shared" si="88"/>
        <v>7024</v>
      </c>
      <c r="Y276" s="36" t="s">
        <v>452</v>
      </c>
      <c r="Z276" t="s">
        <v>25</v>
      </c>
      <c r="AI276" s="97"/>
      <c r="AJ276" s="97"/>
      <c r="AK276" s="97" t="s">
        <v>4041</v>
      </c>
      <c r="AL276" s="97"/>
      <c r="AM276" s="97"/>
      <c r="AN276" s="97" t="s">
        <v>284</v>
      </c>
      <c r="AO276" s="97" t="s">
        <v>926</v>
      </c>
    </row>
    <row r="277" spans="7:41" ht="45">
      <c r="G277" s="206" t="s">
        <v>6459</v>
      </c>
      <c r="H277" s="111">
        <v>3585319.2317280001</v>
      </c>
      <c r="J277" t="s">
        <v>25</v>
      </c>
      <c r="K277" t="s">
        <v>25</v>
      </c>
      <c r="R277" s="97" t="s">
        <v>5052</v>
      </c>
      <c r="S277" s="93">
        <v>300000</v>
      </c>
      <c r="U277" s="206" t="s">
        <v>5063</v>
      </c>
      <c r="V277" s="206">
        <v>9191</v>
      </c>
      <c r="W277" s="111">
        <v>440.24630000000002</v>
      </c>
      <c r="X277" s="111">
        <f t="shared" si="88"/>
        <v>4046303.7433000002</v>
      </c>
      <c r="Y277" s="36" t="s">
        <v>5064</v>
      </c>
      <c r="AI277" s="97"/>
      <c r="AJ277" s="97"/>
      <c r="AK277" s="97"/>
      <c r="AL277" s="97"/>
      <c r="AM277" s="97"/>
      <c r="AN277" s="97"/>
      <c r="AO277" s="97"/>
    </row>
    <row r="278" spans="7:41">
      <c r="G278" s="206" t="s">
        <v>6462</v>
      </c>
      <c r="H278" s="111">
        <v>676700.69889600005</v>
      </c>
      <c r="J278" t="s">
        <v>25</v>
      </c>
      <c r="R278" s="97" t="s">
        <v>5073</v>
      </c>
      <c r="S278" s="93">
        <v>250000</v>
      </c>
      <c r="U278" s="206" t="s">
        <v>5066</v>
      </c>
      <c r="V278" s="206">
        <v>-8792</v>
      </c>
      <c r="W278" s="111">
        <v>441.90665999999999</v>
      </c>
      <c r="X278" s="111">
        <f t="shared" si="88"/>
        <v>-3885243.3547199997</v>
      </c>
      <c r="Y278" s="36" t="s">
        <v>5067</v>
      </c>
      <c r="AI278" s="97"/>
      <c r="AJ278" s="97"/>
      <c r="AK278" s="97"/>
      <c r="AL278" s="97"/>
      <c r="AM278" s="97"/>
      <c r="AN278" s="97" t="s">
        <v>4042</v>
      </c>
      <c r="AO278" s="97">
        <v>1.6667000000000001E-2</v>
      </c>
    </row>
    <row r="279" spans="7:41">
      <c r="G279" s="206" t="s">
        <v>6470</v>
      </c>
      <c r="H279" s="111">
        <v>1105777.5430340001</v>
      </c>
      <c r="J279" t="s">
        <v>25</v>
      </c>
      <c r="R279" s="97" t="s">
        <v>5106</v>
      </c>
      <c r="S279" s="93">
        <v>200000</v>
      </c>
      <c r="U279" s="206" t="s">
        <v>5073</v>
      </c>
      <c r="V279" s="206">
        <v>530</v>
      </c>
      <c r="W279" s="111">
        <v>472</v>
      </c>
      <c r="X279" s="111">
        <f t="shared" si="88"/>
        <v>250160</v>
      </c>
      <c r="Y279" s="36" t="s">
        <v>743</v>
      </c>
      <c r="AI279" s="97"/>
      <c r="AJ279" s="97"/>
      <c r="AK279" s="97"/>
      <c r="AL279" s="97"/>
      <c r="AM279" s="97"/>
      <c r="AN279" s="97"/>
      <c r="AO279" s="97"/>
    </row>
    <row r="280" spans="7:41" ht="30">
      <c r="G280" s="206" t="s">
        <v>6474</v>
      </c>
      <c r="H280" s="111">
        <v>2315234.8602510002</v>
      </c>
      <c r="R280" s="97" t="s">
        <v>5138</v>
      </c>
      <c r="S280" s="93">
        <v>122000</v>
      </c>
      <c r="U280" s="206" t="s">
        <v>5073</v>
      </c>
      <c r="V280" s="206">
        <v>12</v>
      </c>
      <c r="W280" s="111">
        <v>481.86</v>
      </c>
      <c r="X280" s="111">
        <f t="shared" si="88"/>
        <v>5782.32</v>
      </c>
      <c r="Y280" s="36" t="s">
        <v>5075</v>
      </c>
      <c r="AI280" s="97"/>
      <c r="AJ280" s="97" t="s">
        <v>4043</v>
      </c>
      <c r="AK280" s="93">
        <f>AK275+AO275</f>
        <v>795673204.06125796</v>
      </c>
      <c r="AL280" s="97"/>
      <c r="AM280" s="97"/>
      <c r="AN280" s="97"/>
      <c r="AO280" s="97"/>
    </row>
    <row r="281" spans="7:41">
      <c r="G281" s="206" t="s">
        <v>6476</v>
      </c>
      <c r="H281" s="111">
        <v>4136360.6541840001</v>
      </c>
      <c r="J281" t="s">
        <v>25</v>
      </c>
      <c r="R281" s="97" t="s">
        <v>5146</v>
      </c>
      <c r="S281" s="93">
        <v>200000</v>
      </c>
      <c r="T281" t="s">
        <v>25</v>
      </c>
      <c r="U281" s="206" t="s">
        <v>5099</v>
      </c>
      <c r="V281" s="206">
        <v>846</v>
      </c>
      <c r="W281" s="111">
        <v>472.7</v>
      </c>
      <c r="X281" s="111">
        <f t="shared" si="88"/>
        <v>399904.2</v>
      </c>
      <c r="Y281" s="36" t="s">
        <v>452</v>
      </c>
      <c r="AJ281" t="s">
        <v>4046</v>
      </c>
      <c r="AK281" s="112">
        <f>SUM(N44:N53)</f>
        <v>6463195288</v>
      </c>
      <c r="AN281" t="s">
        <v>25</v>
      </c>
    </row>
    <row r="282" spans="7:41">
      <c r="G282" s="206" t="s">
        <v>6478</v>
      </c>
      <c r="H282" s="111">
        <v>3035714.4702960001</v>
      </c>
      <c r="O282" t="s">
        <v>25</v>
      </c>
      <c r="R282" s="97" t="s">
        <v>5156</v>
      </c>
      <c r="S282" s="93">
        <v>60000</v>
      </c>
      <c r="U282" s="206" t="s">
        <v>5102</v>
      </c>
      <c r="V282" s="206">
        <v>191</v>
      </c>
      <c r="W282" s="111">
        <v>484.572</v>
      </c>
      <c r="X282" s="111">
        <f t="shared" si="88"/>
        <v>92553.252000000008</v>
      </c>
      <c r="Y282" s="36" t="s">
        <v>5103</v>
      </c>
      <c r="AJ282" t="s">
        <v>4116</v>
      </c>
      <c r="AK282" s="112">
        <f>AK281-AK275</f>
        <v>5993409338.9384365</v>
      </c>
      <c r="AN282" t="s">
        <v>25</v>
      </c>
    </row>
    <row r="283" spans="7:41">
      <c r="G283" s="206" t="s">
        <v>6486</v>
      </c>
      <c r="H283" s="111">
        <v>93814</v>
      </c>
      <c r="R283" s="97" t="s">
        <v>5215</v>
      </c>
      <c r="S283" s="93">
        <v>-200000</v>
      </c>
      <c r="T283" t="s">
        <v>25</v>
      </c>
      <c r="U283" s="206" t="s">
        <v>5102</v>
      </c>
      <c r="V283" s="206">
        <v>-206</v>
      </c>
      <c r="W283" s="111">
        <v>484.572</v>
      </c>
      <c r="X283" s="111">
        <f t="shared" si="88"/>
        <v>-99821.831999999995</v>
      </c>
      <c r="Y283" s="36" t="s">
        <v>5105</v>
      </c>
      <c r="AJ283" t="s">
        <v>926</v>
      </c>
      <c r="AK283" s="112">
        <f>AO275</f>
        <v>325887254.99969399</v>
      </c>
      <c r="AO283" t="s">
        <v>25</v>
      </c>
    </row>
    <row r="284" spans="7:41">
      <c r="G284" s="206" t="s">
        <v>6492</v>
      </c>
      <c r="H284" s="111">
        <v>345069.28943499998</v>
      </c>
      <c r="R284" s="97" t="s">
        <v>5277</v>
      </c>
      <c r="S284" s="93">
        <v>-9000000</v>
      </c>
      <c r="U284" s="206" t="s">
        <v>5106</v>
      </c>
      <c r="V284" s="206">
        <v>20685</v>
      </c>
      <c r="W284" s="111">
        <v>483.43312200000003</v>
      </c>
      <c r="X284" s="111">
        <f t="shared" si="88"/>
        <v>9999814.1285699997</v>
      </c>
      <c r="Y284" s="36" t="s">
        <v>5108</v>
      </c>
      <c r="AJ284" t="s">
        <v>4047</v>
      </c>
      <c r="AK284" s="112">
        <f>AK281-AK280</f>
        <v>5667522083.9387417</v>
      </c>
      <c r="AO284" t="s">
        <v>25</v>
      </c>
    </row>
    <row r="285" spans="7:41">
      <c r="G285" s="206" t="s">
        <v>6584</v>
      </c>
      <c r="H285" s="111">
        <v>567785.37859199999</v>
      </c>
      <c r="R285" s="97" t="s">
        <v>5335</v>
      </c>
      <c r="S285" s="93">
        <v>-26000000</v>
      </c>
      <c r="U285" s="206" t="s">
        <v>5106</v>
      </c>
      <c r="V285" s="206">
        <v>-413</v>
      </c>
      <c r="W285" s="111">
        <v>483.40199999999999</v>
      </c>
      <c r="X285" s="111">
        <f t="shared" si="88"/>
        <v>-199645.02599999998</v>
      </c>
      <c r="Y285" s="36" t="s">
        <v>4406</v>
      </c>
      <c r="AN285" t="s">
        <v>25</v>
      </c>
    </row>
    <row r="286" spans="7:41">
      <c r="G286" s="206" t="s">
        <v>6595</v>
      </c>
      <c r="H286" s="111">
        <v>189683.91675</v>
      </c>
      <c r="J286" t="s">
        <v>25</v>
      </c>
      <c r="R286" s="97" t="s">
        <v>5339</v>
      </c>
      <c r="S286" s="93">
        <v>-95900000</v>
      </c>
      <c r="U286" s="206" t="s">
        <v>5106</v>
      </c>
      <c r="V286" s="206">
        <v>413</v>
      </c>
      <c r="W286" s="111">
        <v>483.40199999999999</v>
      </c>
      <c r="X286" s="111">
        <f t="shared" si="88"/>
        <v>199645.02599999998</v>
      </c>
      <c r="Y286" s="36" t="s">
        <v>743</v>
      </c>
      <c r="AK286" t="s">
        <v>25</v>
      </c>
    </row>
    <row r="287" spans="7:41">
      <c r="G287" s="206" t="s">
        <v>6596</v>
      </c>
      <c r="H287" s="111">
        <v>519135.75707200001</v>
      </c>
      <c r="R287" s="97" t="s">
        <v>5340</v>
      </c>
      <c r="S287" s="93">
        <v>-28950000</v>
      </c>
      <c r="T287" t="s">
        <v>25</v>
      </c>
      <c r="U287" s="206" t="s">
        <v>5111</v>
      </c>
      <c r="V287" s="206">
        <v>-828</v>
      </c>
      <c r="W287" s="111">
        <v>483.43312200000003</v>
      </c>
      <c r="X287" s="111">
        <f t="shared" si="88"/>
        <v>-400282.62501600001</v>
      </c>
      <c r="Y287" s="36" t="s">
        <v>452</v>
      </c>
    </row>
    <row r="288" spans="7:41">
      <c r="G288" s="206" t="s">
        <v>6602</v>
      </c>
      <c r="H288" s="111">
        <v>3406413.9029760002</v>
      </c>
      <c r="R288" s="97" t="s">
        <v>5483</v>
      </c>
      <c r="S288" s="93">
        <v>-93000000</v>
      </c>
      <c r="T288" t="s">
        <v>25</v>
      </c>
      <c r="U288" s="206" t="s">
        <v>5114</v>
      </c>
      <c r="V288" s="206">
        <v>12</v>
      </c>
      <c r="W288" s="111">
        <v>473.61898300000001</v>
      </c>
      <c r="X288" s="111">
        <f t="shared" si="88"/>
        <v>5683.4277959999999</v>
      </c>
      <c r="Y288" s="36" t="s">
        <v>452</v>
      </c>
    </row>
    <row r="289" spans="7:45">
      <c r="G289" s="411" t="s">
        <v>6604</v>
      </c>
      <c r="H289" s="77">
        <v>435036.348168</v>
      </c>
      <c r="R289" s="97" t="s">
        <v>5492</v>
      </c>
      <c r="S289" s="93">
        <v>50000000</v>
      </c>
      <c r="U289" s="206" t="s">
        <v>5117</v>
      </c>
      <c r="V289" s="206">
        <v>963</v>
      </c>
      <c r="W289" s="111">
        <v>477.92200000000003</v>
      </c>
      <c r="X289" s="111">
        <f t="shared" si="88"/>
        <v>460238.886</v>
      </c>
      <c r="Y289" s="36" t="s">
        <v>452</v>
      </c>
    </row>
    <row r="290" spans="7:45">
      <c r="G290" s="206" t="s">
        <v>6644</v>
      </c>
      <c r="H290" s="111">
        <v>2321535.4633200001</v>
      </c>
      <c r="O290" t="s">
        <v>25</v>
      </c>
      <c r="R290" s="97" t="s">
        <v>4209</v>
      </c>
      <c r="S290" s="93">
        <v>2749471.1668000002</v>
      </c>
      <c r="U290" s="206" t="s">
        <v>5118</v>
      </c>
      <c r="V290" s="206">
        <v>2815</v>
      </c>
      <c r="W290" s="111">
        <v>461.79</v>
      </c>
      <c r="X290" s="111">
        <f t="shared" si="88"/>
        <v>1299938.8500000001</v>
      </c>
      <c r="Y290" s="36" t="s">
        <v>452</v>
      </c>
    </row>
    <row r="291" spans="7:45">
      <c r="G291" s="206" t="s">
        <v>6927</v>
      </c>
      <c r="H291" s="111">
        <v>1098146.8035800001</v>
      </c>
      <c r="R291" s="97" t="s">
        <v>5582</v>
      </c>
      <c r="S291" s="93">
        <v>-680940.07019999996</v>
      </c>
      <c r="U291" s="206" t="s">
        <v>5118</v>
      </c>
      <c r="V291" s="206">
        <v>1581</v>
      </c>
      <c r="W291" s="111">
        <v>461.79</v>
      </c>
      <c r="X291" s="111">
        <f t="shared" si="88"/>
        <v>730089.99</v>
      </c>
      <c r="Y291" s="36" t="s">
        <v>452</v>
      </c>
      <c r="Z291" t="s">
        <v>25</v>
      </c>
      <c r="AI291" s="97" t="s">
        <v>3623</v>
      </c>
      <c r="AJ291" s="97" t="s">
        <v>180</v>
      </c>
      <c r="AK291" s="97" t="s">
        <v>267</v>
      </c>
      <c r="AL291" s="97" t="s">
        <v>4040</v>
      </c>
      <c r="AM291" s="97" t="s">
        <v>4032</v>
      </c>
      <c r="AN291" s="97" t="s">
        <v>282</v>
      </c>
      <c r="AO291" s="97" t="s">
        <v>4265</v>
      </c>
    </row>
    <row r="292" spans="7:45">
      <c r="G292" s="206" t="s">
        <v>6933</v>
      </c>
      <c r="H292" s="111">
        <v>540424.560405</v>
      </c>
      <c r="R292" s="97" t="s">
        <v>5582</v>
      </c>
      <c r="S292" s="93">
        <v>-48684800.338199995</v>
      </c>
      <c r="U292" s="206" t="s">
        <v>975</v>
      </c>
      <c r="V292" s="206">
        <v>41</v>
      </c>
      <c r="W292" s="111">
        <v>514.48099999999999</v>
      </c>
      <c r="X292" s="111">
        <f t="shared" si="88"/>
        <v>21093.721000000001</v>
      </c>
      <c r="Y292" s="36" t="s">
        <v>5103</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5606</v>
      </c>
      <c r="S293" s="93">
        <v>1500000</v>
      </c>
      <c r="T293" t="s">
        <v>25</v>
      </c>
      <c r="U293" s="206" t="s">
        <v>4253</v>
      </c>
      <c r="V293" s="206">
        <v>71</v>
      </c>
      <c r="W293" s="111">
        <v>482.57</v>
      </c>
      <c r="X293" s="111">
        <f t="shared" si="88"/>
        <v>34262.47</v>
      </c>
      <c r="Y293" s="36" t="s">
        <v>5103</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6943</v>
      </c>
      <c r="H294" s="111">
        <v>109680.86334900001</v>
      </c>
      <c r="R294" s="97" t="s">
        <v>963</v>
      </c>
      <c r="S294" s="93">
        <v>11221062</v>
      </c>
      <c r="T294" t="s">
        <v>25</v>
      </c>
      <c r="U294" s="206" t="s">
        <v>5138</v>
      </c>
      <c r="V294" s="206">
        <v>-250</v>
      </c>
      <c r="W294" s="111">
        <v>487.125</v>
      </c>
      <c r="X294" s="111">
        <f t="shared" si="88"/>
        <v>-121781.25</v>
      </c>
      <c r="Y294" s="36" t="s">
        <v>4406</v>
      </c>
      <c r="AI294" s="97">
        <v>3</v>
      </c>
      <c r="AJ294" s="97" t="s">
        <v>4110</v>
      </c>
      <c r="AK294" s="115">
        <v>150000</v>
      </c>
      <c r="AL294" s="97">
        <v>3</v>
      </c>
      <c r="AM294" s="97">
        <f t="shared" si="89"/>
        <v>938</v>
      </c>
      <c r="AN294" s="97">
        <f t="shared" si="90"/>
        <v>140700000</v>
      </c>
      <c r="AO294" s="97"/>
    </row>
    <row r="295" spans="7:45">
      <c r="G295" s="206" t="s">
        <v>6964</v>
      </c>
      <c r="H295" s="111">
        <v>13945790.265610002</v>
      </c>
      <c r="R295" s="97" t="s">
        <v>5812</v>
      </c>
      <c r="S295" s="93">
        <v>20031495.928431001</v>
      </c>
      <c r="U295" s="206" t="s">
        <v>5138</v>
      </c>
      <c r="V295" s="206">
        <v>250</v>
      </c>
      <c r="W295" s="111">
        <v>487.125</v>
      </c>
      <c r="X295" s="111">
        <f t="shared" si="88"/>
        <v>121781.25</v>
      </c>
      <c r="Y295" s="36" t="s">
        <v>743</v>
      </c>
      <c r="AI295" s="97">
        <v>4</v>
      </c>
      <c r="AJ295" s="97" t="s">
        <v>4125</v>
      </c>
      <c r="AK295" s="115">
        <v>-95000</v>
      </c>
      <c r="AL295" s="97">
        <v>8</v>
      </c>
      <c r="AM295" s="97">
        <f t="shared" si="89"/>
        <v>935</v>
      </c>
      <c r="AN295" s="97">
        <f t="shared" si="90"/>
        <v>-88825000</v>
      </c>
      <c r="AO295" s="97"/>
    </row>
    <row r="296" spans="7:45">
      <c r="G296" s="206" t="s">
        <v>6966</v>
      </c>
      <c r="H296" s="111">
        <v>457914.84466800001</v>
      </c>
      <c r="R296" s="97" t="s">
        <v>5825</v>
      </c>
      <c r="S296" s="93">
        <v>-154353015.43906799</v>
      </c>
      <c r="T296" t="s">
        <v>25</v>
      </c>
      <c r="U296" s="206" t="s">
        <v>5146</v>
      </c>
      <c r="V296" s="206">
        <v>-1439</v>
      </c>
      <c r="W296" s="111">
        <v>486.53068999999999</v>
      </c>
      <c r="X296" s="111">
        <f t="shared" si="88"/>
        <v>-700117.66290999996</v>
      </c>
      <c r="Y296" s="36" t="s">
        <v>4406</v>
      </c>
      <c r="AI296" s="97">
        <v>5</v>
      </c>
      <c r="AJ296" s="97" t="s">
        <v>4149</v>
      </c>
      <c r="AK296" s="115">
        <v>3150000</v>
      </c>
      <c r="AL296" s="97">
        <v>16</v>
      </c>
      <c r="AM296" s="97">
        <f t="shared" si="89"/>
        <v>927</v>
      </c>
      <c r="AN296" s="97">
        <f t="shared" si="90"/>
        <v>2920050000</v>
      </c>
      <c r="AO296" s="97"/>
    </row>
    <row r="297" spans="7:45">
      <c r="G297" s="206" t="s">
        <v>6968</v>
      </c>
      <c r="H297" s="111">
        <v>974570.33942399989</v>
      </c>
      <c r="R297" s="97" t="s">
        <v>5844</v>
      </c>
      <c r="S297" s="93">
        <v>16643927.89773</v>
      </c>
      <c r="T297" t="s">
        <v>25</v>
      </c>
      <c r="U297" s="206" t="s">
        <v>5146</v>
      </c>
      <c r="V297" s="206">
        <v>411</v>
      </c>
      <c r="W297" s="111">
        <v>486.53068999999999</v>
      </c>
      <c r="X297" s="111">
        <f t="shared" si="88"/>
        <v>199964.11358999999</v>
      </c>
      <c r="Y297" s="36" t="s">
        <v>743</v>
      </c>
      <c r="Z297" t="s">
        <v>25</v>
      </c>
      <c r="AI297" s="97">
        <v>6</v>
      </c>
      <c r="AJ297" s="97" t="s">
        <v>4214</v>
      </c>
      <c r="AK297" s="115">
        <v>-65000</v>
      </c>
      <c r="AL297" s="97">
        <v>1</v>
      </c>
      <c r="AM297" s="97">
        <f t="shared" si="89"/>
        <v>911</v>
      </c>
      <c r="AN297" s="97">
        <f t="shared" si="90"/>
        <v>-59215000</v>
      </c>
      <c r="AO297" s="97"/>
    </row>
    <row r="298" spans="7:45">
      <c r="G298" s="206" t="s">
        <v>6970</v>
      </c>
      <c r="H298" s="111">
        <v>746198.52596400003</v>
      </c>
      <c r="J298" t="s">
        <v>25</v>
      </c>
      <c r="O298" t="s">
        <v>25</v>
      </c>
      <c r="R298" s="97" t="s">
        <v>5845</v>
      </c>
      <c r="S298" s="93">
        <v>33355467.51292</v>
      </c>
      <c r="U298" s="206" t="s">
        <v>5116</v>
      </c>
      <c r="V298" s="206">
        <v>-4290</v>
      </c>
      <c r="W298" s="111">
        <v>497.57670000000002</v>
      </c>
      <c r="X298" s="111">
        <f t="shared" si="88"/>
        <v>-2134604.0430000001</v>
      </c>
      <c r="Y298" s="36" t="s">
        <v>452</v>
      </c>
      <c r="AI298" s="97">
        <v>7</v>
      </c>
      <c r="AJ298" s="97" t="s">
        <v>4285</v>
      </c>
      <c r="AK298" s="115">
        <v>-95000</v>
      </c>
      <c r="AL298" s="97">
        <v>6</v>
      </c>
      <c r="AM298" s="97">
        <f t="shared" si="89"/>
        <v>910</v>
      </c>
      <c r="AN298" s="97">
        <f t="shared" si="90"/>
        <v>-86450000</v>
      </c>
      <c r="AO298" s="97"/>
    </row>
    <row r="299" spans="7:45">
      <c r="G299" s="206" t="s">
        <v>6974</v>
      </c>
      <c r="H299" s="111">
        <v>416108</v>
      </c>
      <c r="R299" s="97" t="s">
        <v>6390</v>
      </c>
      <c r="S299" s="93">
        <v>30000000</v>
      </c>
      <c r="T299" t="s">
        <v>25</v>
      </c>
      <c r="U299" s="206" t="s">
        <v>5153</v>
      </c>
      <c r="V299" s="206">
        <v>-644</v>
      </c>
      <c r="W299" s="111">
        <v>494.76464499999997</v>
      </c>
      <c r="X299" s="111">
        <f t="shared" si="88"/>
        <v>-318628.43137999997</v>
      </c>
      <c r="Y299" s="36" t="s">
        <v>452</v>
      </c>
      <c r="AI299" s="97">
        <v>8</v>
      </c>
      <c r="AJ299" s="97" t="s">
        <v>4286</v>
      </c>
      <c r="AK299" s="115">
        <v>232000</v>
      </c>
      <c r="AL299" s="97">
        <v>7</v>
      </c>
      <c r="AM299" s="97">
        <f t="shared" si="89"/>
        <v>904</v>
      </c>
      <c r="AN299" s="97">
        <f t="shared" si="90"/>
        <v>209728000</v>
      </c>
      <c r="AO299" s="97"/>
    </row>
    <row r="300" spans="7:45">
      <c r="G300" s="206" t="s">
        <v>6989</v>
      </c>
      <c r="H300" s="111">
        <v>361620.57555000001</v>
      </c>
      <c r="P300" t="s">
        <v>25</v>
      </c>
      <c r="R300" s="97" t="s">
        <v>6403</v>
      </c>
      <c r="S300" s="93">
        <v>6000000</v>
      </c>
      <c r="U300" s="206" t="s">
        <v>5156</v>
      </c>
      <c r="V300" s="206">
        <v>-112</v>
      </c>
      <c r="W300" s="111">
        <v>485.78</v>
      </c>
      <c r="X300" s="111">
        <f t="shared" si="88"/>
        <v>-54407.360000000001</v>
      </c>
      <c r="Y300" s="36" t="s">
        <v>452</v>
      </c>
      <c r="AI300" s="97">
        <v>9</v>
      </c>
      <c r="AJ300" s="97" t="s">
        <v>4264</v>
      </c>
      <c r="AK300" s="115">
        <v>13000000</v>
      </c>
      <c r="AL300" s="97">
        <v>2</v>
      </c>
      <c r="AM300" s="97">
        <f t="shared" si="89"/>
        <v>897</v>
      </c>
      <c r="AN300" s="97">
        <f t="shared" si="90"/>
        <v>11661000000</v>
      </c>
      <c r="AO300" s="97"/>
      <c r="AS300" t="s">
        <v>25</v>
      </c>
    </row>
    <row r="301" spans="7:45">
      <c r="G301" s="206" t="s">
        <v>6990</v>
      </c>
      <c r="H301" s="111">
        <v>761310.51884999999</v>
      </c>
      <c r="R301" s="97" t="s">
        <v>6492</v>
      </c>
      <c r="S301" s="93">
        <v>126128.77475900001</v>
      </c>
      <c r="U301" s="206" t="s">
        <v>5156</v>
      </c>
      <c r="V301" s="206">
        <v>123</v>
      </c>
      <c r="W301" s="111">
        <v>485.78</v>
      </c>
      <c r="X301" s="111">
        <f t="shared" si="88"/>
        <v>59750.939999999995</v>
      </c>
      <c r="Y301" s="36" t="s">
        <v>743</v>
      </c>
      <c r="AI301" s="97">
        <v>10</v>
      </c>
      <c r="AJ301" s="97" t="s">
        <v>4287</v>
      </c>
      <c r="AK301" s="115">
        <v>10000000</v>
      </c>
      <c r="AL301" s="97">
        <v>3</v>
      </c>
      <c r="AM301" s="97">
        <f t="shared" si="89"/>
        <v>895</v>
      </c>
      <c r="AN301" s="97">
        <f t="shared" si="90"/>
        <v>8950000000</v>
      </c>
      <c r="AO301" s="97"/>
    </row>
    <row r="302" spans="7:45">
      <c r="G302" s="206" t="s">
        <v>6993</v>
      </c>
      <c r="H302" s="111">
        <v>3047100.3041699999</v>
      </c>
      <c r="R302" s="97" t="s">
        <v>7087</v>
      </c>
      <c r="S302" s="93">
        <v>7000000</v>
      </c>
      <c r="U302" s="206" t="s">
        <v>5156</v>
      </c>
      <c r="V302" s="206">
        <v>-123</v>
      </c>
      <c r="W302" s="111">
        <v>485.78</v>
      </c>
      <c r="X302" s="111">
        <f t="shared" si="88"/>
        <v>-59750.939999999995</v>
      </c>
      <c r="Y302" s="36" t="s">
        <v>4406</v>
      </c>
      <c r="AI302" s="97">
        <v>11</v>
      </c>
      <c r="AJ302" s="97" t="s">
        <v>4276</v>
      </c>
      <c r="AK302" s="115">
        <v>3400000</v>
      </c>
      <c r="AL302" s="97">
        <v>9</v>
      </c>
      <c r="AM302" s="97">
        <f t="shared" si="89"/>
        <v>892</v>
      </c>
      <c r="AN302" s="97">
        <f t="shared" si="90"/>
        <v>3032800000</v>
      </c>
      <c r="AO302" s="97"/>
    </row>
    <row r="303" spans="7:45">
      <c r="G303" s="206" t="s">
        <v>6996</v>
      </c>
      <c r="H303" s="111">
        <v>2437078.451072</v>
      </c>
      <c r="I303" t="s">
        <v>25</v>
      </c>
      <c r="R303" s="97"/>
      <c r="S303" s="93"/>
      <c r="T303" t="s">
        <v>25</v>
      </c>
      <c r="U303" s="206" t="s">
        <v>5199</v>
      </c>
      <c r="V303" s="206">
        <v>32367</v>
      </c>
      <c r="W303" s="111">
        <v>556.12900000000002</v>
      </c>
      <c r="X303" s="111">
        <f t="shared" si="88"/>
        <v>18000227.343000002</v>
      </c>
      <c r="Y303" s="36" t="s">
        <v>452</v>
      </c>
      <c r="AI303" s="97">
        <v>12</v>
      </c>
      <c r="AJ303" s="97" t="s">
        <v>4313</v>
      </c>
      <c r="AK303" s="115">
        <v>-8736514</v>
      </c>
      <c r="AL303" s="97">
        <v>1</v>
      </c>
      <c r="AM303" s="97">
        <f>AL303+AM304</f>
        <v>883</v>
      </c>
      <c r="AN303" s="97">
        <f t="shared" si="90"/>
        <v>-7714341862</v>
      </c>
      <c r="AO303" s="97"/>
    </row>
    <row r="304" spans="7:45">
      <c r="G304" s="206" t="s">
        <v>7081</v>
      </c>
      <c r="H304" s="111">
        <v>7747639.4065840002</v>
      </c>
      <c r="J304" t="s">
        <v>25</v>
      </c>
      <c r="K304" t="s">
        <v>25</v>
      </c>
      <c r="R304" s="97"/>
      <c r="S304" s="93"/>
      <c r="U304" s="206" t="s">
        <v>5215</v>
      </c>
      <c r="V304" s="206">
        <v>1254</v>
      </c>
      <c r="W304" s="111">
        <v>558.24400000000003</v>
      </c>
      <c r="X304" s="111">
        <f t="shared" si="88"/>
        <v>700037.97600000002</v>
      </c>
      <c r="Y304" s="36" t="s">
        <v>4406</v>
      </c>
      <c r="AI304" s="97">
        <v>13</v>
      </c>
      <c r="AJ304" s="97" t="s">
        <v>4314</v>
      </c>
      <c r="AK304" s="115">
        <v>555000</v>
      </c>
      <c r="AL304" s="97">
        <v>5</v>
      </c>
      <c r="AM304" s="97">
        <f t="shared" ref="AM304:AM320" si="91">AL304+AM305</f>
        <v>882</v>
      </c>
      <c r="AN304" s="97">
        <f t="shared" si="90"/>
        <v>489510000</v>
      </c>
      <c r="AO304" s="97"/>
    </row>
    <row r="305" spans="7:41">
      <c r="G305" s="206" t="s">
        <v>7083</v>
      </c>
      <c r="H305" s="111">
        <v>5584918.3522559991</v>
      </c>
      <c r="O305" t="s">
        <v>25</v>
      </c>
      <c r="R305" s="97"/>
      <c r="S305" s="93"/>
      <c r="U305" s="166" t="s">
        <v>5215</v>
      </c>
      <c r="V305" s="206">
        <v>-358</v>
      </c>
      <c r="W305" s="111">
        <v>558.24400000000003</v>
      </c>
      <c r="X305" s="111">
        <f t="shared" si="88"/>
        <v>-199851.35200000001</v>
      </c>
      <c r="Y305" s="36" t="s">
        <v>743</v>
      </c>
      <c r="AA305" t="s">
        <v>25</v>
      </c>
      <c r="AI305" s="97">
        <v>14</v>
      </c>
      <c r="AJ305" s="97" t="s">
        <v>4338</v>
      </c>
      <c r="AK305" s="115">
        <v>-448308</v>
      </c>
      <c r="AL305" s="97">
        <v>6</v>
      </c>
      <c r="AM305" s="97">
        <f t="shared" si="91"/>
        <v>877</v>
      </c>
      <c r="AN305" s="97">
        <f t="shared" si="90"/>
        <v>-393166116</v>
      </c>
      <c r="AO305" s="97"/>
    </row>
    <row r="306" spans="7:41">
      <c r="G306" s="206" t="s">
        <v>7087</v>
      </c>
      <c r="H306" s="111">
        <v>573666.77206800005</v>
      </c>
      <c r="R306" s="97"/>
      <c r="S306" s="93"/>
      <c r="U306" s="187" t="s">
        <v>5234</v>
      </c>
      <c r="V306" s="187">
        <v>63259</v>
      </c>
      <c r="W306" s="186">
        <v>632.31960000000004</v>
      </c>
      <c r="X306" s="186">
        <f t="shared" si="88"/>
        <v>39999905.576400004</v>
      </c>
      <c r="Y306" s="260" t="s">
        <v>1069</v>
      </c>
      <c r="AI306" s="97">
        <v>15</v>
      </c>
      <c r="AJ306" s="97" t="s">
        <v>4365</v>
      </c>
      <c r="AK306" s="115">
        <v>33225</v>
      </c>
      <c r="AL306" s="97">
        <v>0</v>
      </c>
      <c r="AM306" s="97">
        <f t="shared" si="91"/>
        <v>871</v>
      </c>
      <c r="AN306" s="97">
        <f t="shared" si="90"/>
        <v>28938975</v>
      </c>
      <c r="AO306" s="97"/>
    </row>
    <row r="307" spans="7:41">
      <c r="G307" s="206"/>
      <c r="H307" s="111"/>
      <c r="J307" t="s">
        <v>25</v>
      </c>
      <c r="R307" s="97" t="s">
        <v>25</v>
      </c>
      <c r="S307" s="93"/>
      <c r="U307" s="19" t="s">
        <v>5238</v>
      </c>
      <c r="V307" s="19">
        <v>-1278</v>
      </c>
      <c r="W307" s="115">
        <v>625.98</v>
      </c>
      <c r="X307" s="115">
        <f t="shared" si="88"/>
        <v>-800002.44000000006</v>
      </c>
      <c r="Y307" s="261" t="s">
        <v>5239</v>
      </c>
      <c r="AI307" s="147">
        <v>16</v>
      </c>
      <c r="AJ307" s="147" t="s">
        <v>4365</v>
      </c>
      <c r="AK307" s="186">
        <v>4098523</v>
      </c>
      <c r="AL307" s="147">
        <v>2</v>
      </c>
      <c r="AM307" s="147">
        <f t="shared" si="91"/>
        <v>871</v>
      </c>
      <c r="AN307" s="147">
        <f t="shared" si="90"/>
        <v>3569813533</v>
      </c>
      <c r="AO307" s="147" t="s">
        <v>649</v>
      </c>
    </row>
    <row r="308" spans="7:41">
      <c r="G308" s="206"/>
      <c r="H308" s="111"/>
      <c r="R308" s="97"/>
      <c r="S308" s="93">
        <f>SUM(S244:S307)</f>
        <v>158842622.43317199</v>
      </c>
      <c r="U308" s="19" t="s">
        <v>5243</v>
      </c>
      <c r="V308" s="19">
        <v>32049</v>
      </c>
      <c r="W308" s="115">
        <v>624.04600000000005</v>
      </c>
      <c r="X308" s="115">
        <f t="shared" si="88"/>
        <v>20000050.254000001</v>
      </c>
      <c r="Y308" s="261" t="s">
        <v>5108</v>
      </c>
      <c r="AA308" t="s">
        <v>25</v>
      </c>
      <c r="AI308" s="147">
        <v>17</v>
      </c>
      <c r="AJ308" s="147" t="s">
        <v>4376</v>
      </c>
      <c r="AK308" s="186">
        <v>-1000000</v>
      </c>
      <c r="AL308" s="147">
        <v>7</v>
      </c>
      <c r="AM308" s="147">
        <f t="shared" si="91"/>
        <v>869</v>
      </c>
      <c r="AN308" s="147">
        <f t="shared" si="90"/>
        <v>-869000000</v>
      </c>
      <c r="AO308" s="147" t="s">
        <v>649</v>
      </c>
    </row>
    <row r="309" spans="7:41" ht="30">
      <c r="G309" s="206"/>
      <c r="H309" s="111"/>
      <c r="S309" s="97" t="s">
        <v>6</v>
      </c>
      <c r="U309" s="19" t="s">
        <v>5250</v>
      </c>
      <c r="V309" s="19">
        <v>45094</v>
      </c>
      <c r="W309" s="115">
        <v>614.13559759999998</v>
      </c>
      <c r="X309" s="115">
        <f t="shared" si="88"/>
        <v>27693830.6381744</v>
      </c>
      <c r="Y309" s="261" t="s">
        <v>5252</v>
      </c>
      <c r="Z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S310" t="s">
        <v>25</v>
      </c>
      <c r="U310" s="19" t="s">
        <v>5277</v>
      </c>
      <c r="V310" s="19">
        <v>-11804</v>
      </c>
      <c r="W310" s="115">
        <v>762.46640000000002</v>
      </c>
      <c r="X310" s="115">
        <f t="shared" si="88"/>
        <v>-9000153.3856000006</v>
      </c>
      <c r="Y310" s="261" t="s">
        <v>5279</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452</v>
      </c>
      <c r="U311" s="19" t="s">
        <v>5321</v>
      </c>
      <c r="V311" s="19">
        <v>844</v>
      </c>
      <c r="W311" s="115">
        <v>830</v>
      </c>
      <c r="X311" s="115">
        <f t="shared" si="88"/>
        <v>700520</v>
      </c>
      <c r="Y311" s="261" t="s">
        <v>4406</v>
      </c>
      <c r="Z311" t="s">
        <v>25</v>
      </c>
      <c r="AI311" s="97">
        <v>20</v>
      </c>
      <c r="AJ311" s="97" t="s">
        <v>4398</v>
      </c>
      <c r="AK311" s="115">
        <v>-587083</v>
      </c>
      <c r="AL311" s="97">
        <v>4</v>
      </c>
      <c r="AM311" s="97">
        <f t="shared" si="91"/>
        <v>861</v>
      </c>
      <c r="AN311" s="97">
        <f t="shared" si="90"/>
        <v>-505478463</v>
      </c>
      <c r="AO311" s="97"/>
    </row>
    <row r="312" spans="7:41">
      <c r="G312" s="206"/>
      <c r="H312" s="111"/>
      <c r="R312" s="97" t="s">
        <v>4399</v>
      </c>
      <c r="S312" s="97"/>
      <c r="U312" s="19" t="s">
        <v>5325</v>
      </c>
      <c r="V312" s="19">
        <v>8662</v>
      </c>
      <c r="W312" s="115">
        <v>832.57011999999997</v>
      </c>
      <c r="X312" s="115">
        <f t="shared" si="88"/>
        <v>7211722.3794399993</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R313" s="97" t="s">
        <v>4443</v>
      </c>
      <c r="S313" s="93">
        <v>63115000</v>
      </c>
      <c r="U313" s="19" t="s">
        <v>5326</v>
      </c>
      <c r="V313" s="19">
        <v>10253</v>
      </c>
      <c r="W313" s="115">
        <v>827.2568</v>
      </c>
      <c r="X313" s="115">
        <f t="shared" si="88"/>
        <v>8481863.9704</v>
      </c>
      <c r="Y313" s="261" t="s">
        <v>5329</v>
      </c>
      <c r="AB313" t="s">
        <v>25</v>
      </c>
      <c r="AI313" s="97">
        <v>22</v>
      </c>
      <c r="AJ313" s="97" t="s">
        <v>4399</v>
      </c>
      <c r="AK313" s="115">
        <v>-189619</v>
      </c>
      <c r="AL313" s="97">
        <v>15</v>
      </c>
      <c r="AM313" s="97">
        <f t="shared" si="91"/>
        <v>857</v>
      </c>
      <c r="AN313" s="97">
        <f t="shared" si="90"/>
        <v>-162503483</v>
      </c>
      <c r="AO313" s="97"/>
    </row>
    <row r="314" spans="7:41">
      <c r="G314" s="206"/>
      <c r="H314" s="111"/>
      <c r="R314" s="97" t="s">
        <v>4451</v>
      </c>
      <c r="S314" s="93">
        <v>13300000</v>
      </c>
      <c r="U314" s="230" t="s">
        <v>5330</v>
      </c>
      <c r="V314" s="230">
        <v>-33077</v>
      </c>
      <c r="W314" s="231">
        <v>786.02973999999995</v>
      </c>
      <c r="X314" s="231">
        <f t="shared" si="88"/>
        <v>-25999505.70998</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4549</v>
      </c>
      <c r="S315" s="93">
        <v>2269000</v>
      </c>
      <c r="U315" s="19" t="s">
        <v>5330</v>
      </c>
      <c r="V315" s="19">
        <v>-33077</v>
      </c>
      <c r="W315" s="115">
        <v>786.02973999999995</v>
      </c>
      <c r="X315" s="115">
        <f t="shared" si="88"/>
        <v>-25999505.70998</v>
      </c>
      <c r="Y315" s="261" t="s">
        <v>5333</v>
      </c>
      <c r="Z315" t="s">
        <v>25</v>
      </c>
      <c r="AI315" s="20">
        <v>24</v>
      </c>
      <c r="AJ315" s="20" t="s">
        <v>4459</v>
      </c>
      <c r="AK315" s="115">
        <v>-147902</v>
      </c>
      <c r="AL315" s="20">
        <v>3</v>
      </c>
      <c r="AM315" s="97">
        <f t="shared" si="91"/>
        <v>842</v>
      </c>
      <c r="AN315" s="20">
        <f t="shared" si="90"/>
        <v>-124533484</v>
      </c>
      <c r="AO315" s="20"/>
    </row>
    <row r="316" spans="7:41">
      <c r="G316" s="206"/>
      <c r="H316" s="111"/>
      <c r="R316" s="97" t="s">
        <v>4558</v>
      </c>
      <c r="S316" s="93">
        <v>25071612</v>
      </c>
      <c r="U316" s="19" t="s">
        <v>5330</v>
      </c>
      <c r="V316" s="19">
        <v>1983</v>
      </c>
      <c r="W316" s="115">
        <v>786.02973999999995</v>
      </c>
      <c r="X316" s="115">
        <f t="shared" si="88"/>
        <v>1558696.9744199999</v>
      </c>
      <c r="Y316" s="261" t="s">
        <v>5103</v>
      </c>
      <c r="AI316" s="147">
        <v>25</v>
      </c>
      <c r="AJ316" s="147" t="s">
        <v>4467</v>
      </c>
      <c r="AK316" s="186">
        <v>-37200</v>
      </c>
      <c r="AL316" s="147">
        <v>4</v>
      </c>
      <c r="AM316" s="147">
        <f t="shared" si="91"/>
        <v>839</v>
      </c>
      <c r="AN316" s="192">
        <f t="shared" si="90"/>
        <v>-31210800</v>
      </c>
      <c r="AO316" s="147" t="s">
        <v>649</v>
      </c>
    </row>
    <row r="317" spans="7:41">
      <c r="G317" s="206"/>
      <c r="H317" s="111"/>
      <c r="R317" s="97" t="s">
        <v>4559</v>
      </c>
      <c r="S317" s="93">
        <v>42236984</v>
      </c>
      <c r="U317" s="230" t="s">
        <v>5334</v>
      </c>
      <c r="V317" s="230">
        <v>-119753</v>
      </c>
      <c r="W317" s="231">
        <v>800.81560000000002</v>
      </c>
      <c r="X317" s="231">
        <f t="shared" si="88"/>
        <v>-95900070.546800002</v>
      </c>
      <c r="Y317" s="269" t="s">
        <v>5332</v>
      </c>
      <c r="AI317" s="97">
        <v>26</v>
      </c>
      <c r="AJ317" s="97" t="s">
        <v>4494</v>
      </c>
      <c r="AK317" s="115">
        <v>-372326</v>
      </c>
      <c r="AL317" s="97">
        <v>21</v>
      </c>
      <c r="AM317" s="97">
        <f t="shared" si="91"/>
        <v>835</v>
      </c>
      <c r="AN317" s="20">
        <f t="shared" si="90"/>
        <v>-310892210</v>
      </c>
      <c r="AO317" s="97"/>
    </row>
    <row r="318" spans="7:41">
      <c r="G318" s="206" t="s">
        <v>5479</v>
      </c>
      <c r="H318" s="111">
        <v>-87000000</v>
      </c>
      <c r="R318" s="97" t="s">
        <v>4580</v>
      </c>
      <c r="S318" s="93">
        <v>19663646</v>
      </c>
      <c r="U318" s="19" t="s">
        <v>5334</v>
      </c>
      <c r="V318" s="19">
        <v>-119753</v>
      </c>
      <c r="W318" s="115">
        <v>800.81560000000002</v>
      </c>
      <c r="X318" s="115">
        <f t="shared" si="88"/>
        <v>-95900070.546800002</v>
      </c>
      <c r="Y318" s="261" t="s">
        <v>5333</v>
      </c>
      <c r="AI318" s="97">
        <v>27</v>
      </c>
      <c r="AJ318" s="97" t="s">
        <v>4541</v>
      </c>
      <c r="AK318" s="115">
        <v>235062</v>
      </c>
      <c r="AL318" s="97">
        <v>0</v>
      </c>
      <c r="AM318" s="97">
        <f t="shared" si="91"/>
        <v>814</v>
      </c>
      <c r="AN318" s="20">
        <f t="shared" si="90"/>
        <v>191340468</v>
      </c>
      <c r="AO318" s="97"/>
    </row>
    <row r="319" spans="7:41">
      <c r="G319" s="206"/>
      <c r="H319" s="111"/>
      <c r="R319" s="97" t="s">
        <v>4591</v>
      </c>
      <c r="S319" s="93">
        <v>4374525</v>
      </c>
      <c r="T319" s="112"/>
      <c r="U319" s="19" t="s">
        <v>5334</v>
      </c>
      <c r="V319" s="19">
        <v>11291</v>
      </c>
      <c r="W319" s="115">
        <v>800.81560000000002</v>
      </c>
      <c r="X319" s="115">
        <f t="shared" si="88"/>
        <v>9042008.9396000002</v>
      </c>
      <c r="Y319" s="261" t="s">
        <v>452</v>
      </c>
      <c r="AB319" t="s">
        <v>25</v>
      </c>
      <c r="AI319" s="147">
        <v>28</v>
      </c>
      <c r="AJ319" s="147" t="s">
        <v>4541</v>
      </c>
      <c r="AK319" s="186">
        <v>235062</v>
      </c>
      <c r="AL319" s="147">
        <v>9</v>
      </c>
      <c r="AM319" s="97">
        <f t="shared" si="91"/>
        <v>814</v>
      </c>
      <c r="AN319" s="147">
        <f t="shared" si="90"/>
        <v>191340468</v>
      </c>
      <c r="AO319" s="147" t="s">
        <v>649</v>
      </c>
    </row>
    <row r="320" spans="7:41">
      <c r="G320" s="206"/>
      <c r="H320" s="1"/>
      <c r="R320" s="97" t="s">
        <v>4593</v>
      </c>
      <c r="S320" s="93">
        <v>6550580</v>
      </c>
      <c r="U320" s="187" t="s">
        <v>5335</v>
      </c>
      <c r="V320" s="187">
        <v>-35361</v>
      </c>
      <c r="W320" s="186">
        <v>818.697</v>
      </c>
      <c r="X320" s="186">
        <f t="shared" si="88"/>
        <v>-28949944.616999999</v>
      </c>
      <c r="Y320" s="260" t="s">
        <v>5332</v>
      </c>
      <c r="Z320" t="s">
        <v>25</v>
      </c>
      <c r="AI320" s="147">
        <v>29</v>
      </c>
      <c r="AJ320" s="147" t="s">
        <v>4559</v>
      </c>
      <c r="AK320" s="186">
        <v>450000</v>
      </c>
      <c r="AL320" s="147">
        <v>0</v>
      </c>
      <c r="AM320" s="97">
        <f t="shared" si="91"/>
        <v>805</v>
      </c>
      <c r="AN320" s="147">
        <f t="shared" si="90"/>
        <v>362250000</v>
      </c>
      <c r="AO320" s="147" t="s">
        <v>649</v>
      </c>
    </row>
    <row r="321" spans="7:45">
      <c r="G321" s="206"/>
      <c r="H321" s="1"/>
      <c r="R321" s="97" t="s">
        <v>4609</v>
      </c>
      <c r="S321" s="93">
        <v>7054895</v>
      </c>
      <c r="U321" s="19" t="s">
        <v>5335</v>
      </c>
      <c r="V321" s="19">
        <v>-35361</v>
      </c>
      <c r="W321" s="115">
        <v>818.697</v>
      </c>
      <c r="X321" s="115">
        <f t="shared" si="88"/>
        <v>-28949944.616999999</v>
      </c>
      <c r="Y321" s="261" t="s">
        <v>5333</v>
      </c>
      <c r="Z321" t="s">
        <v>25</v>
      </c>
      <c r="AA321" t="s">
        <v>25</v>
      </c>
      <c r="AI321" s="20">
        <v>30</v>
      </c>
      <c r="AJ321" s="20" t="s">
        <v>4559</v>
      </c>
      <c r="AK321" s="115">
        <v>450000</v>
      </c>
      <c r="AL321" s="20">
        <v>22</v>
      </c>
      <c r="AM321" s="97">
        <f>AL321+AM322</f>
        <v>805</v>
      </c>
      <c r="AN321" s="20">
        <f t="shared" si="90"/>
        <v>362250000</v>
      </c>
      <c r="AO321" s="20"/>
    </row>
    <row r="322" spans="7:45">
      <c r="G322" s="206"/>
      <c r="H322" s="1"/>
      <c r="R322" s="97" t="s">
        <v>4620</v>
      </c>
      <c r="S322" s="93">
        <v>2145814</v>
      </c>
      <c r="U322" s="19" t="s">
        <v>5335</v>
      </c>
      <c r="V322" s="19">
        <v>116</v>
      </c>
      <c r="W322" s="115">
        <v>818.697</v>
      </c>
      <c r="X322" s="115">
        <f t="shared" si="88"/>
        <v>94968.851999999999</v>
      </c>
      <c r="Y322" s="261" t="s">
        <v>5103</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4622</v>
      </c>
      <c r="S323" s="93">
        <v>4369730</v>
      </c>
      <c r="U323" s="19" t="s">
        <v>5339</v>
      </c>
      <c r="V323" s="19">
        <v>48633</v>
      </c>
      <c r="W323" s="115">
        <v>822.47199999999998</v>
      </c>
      <c r="X323" s="115">
        <f t="shared" si="88"/>
        <v>39999280.776000001</v>
      </c>
      <c r="Y323" s="261" t="s">
        <v>5342</v>
      </c>
      <c r="AB323" t="s">
        <v>25</v>
      </c>
      <c r="AI323" s="119">
        <v>32</v>
      </c>
      <c r="AJ323" s="119" t="s">
        <v>4622</v>
      </c>
      <c r="AK323" s="77">
        <v>288936</v>
      </c>
      <c r="AL323" s="119">
        <v>3</v>
      </c>
      <c r="AM323" s="119">
        <f t="shared" si="92"/>
        <v>783</v>
      </c>
      <c r="AN323" s="119">
        <f t="shared" si="93"/>
        <v>226236888</v>
      </c>
      <c r="AO323" s="201" t="s">
        <v>4633</v>
      </c>
    </row>
    <row r="324" spans="7:45">
      <c r="G324" s="280"/>
      <c r="H324" s="1"/>
      <c r="R324" s="97" t="s">
        <v>4631</v>
      </c>
      <c r="S324" s="93">
        <v>8739459</v>
      </c>
      <c r="U324" s="19" t="s">
        <v>5339</v>
      </c>
      <c r="V324" s="19">
        <v>3412</v>
      </c>
      <c r="W324" s="115">
        <v>822.47199999999998</v>
      </c>
      <c r="X324" s="115">
        <f t="shared" si="88"/>
        <v>2806274.4640000002</v>
      </c>
      <c r="Y324" s="261" t="s">
        <v>5344</v>
      </c>
      <c r="AI324" s="119">
        <v>33</v>
      </c>
      <c r="AJ324" s="119" t="s">
        <v>4631</v>
      </c>
      <c r="AK324" s="77">
        <v>17962491</v>
      </c>
      <c r="AL324" s="119">
        <v>1</v>
      </c>
      <c r="AM324" s="119">
        <f t="shared" si="92"/>
        <v>780</v>
      </c>
      <c r="AN324" s="119">
        <f t="shared" si="93"/>
        <v>14010742980</v>
      </c>
      <c r="AO324" s="119" t="s">
        <v>4638</v>
      </c>
    </row>
    <row r="325" spans="7:45">
      <c r="R325" s="97" t="s">
        <v>3666</v>
      </c>
      <c r="S325" s="93">
        <v>6667654</v>
      </c>
      <c r="U325" s="19" t="s">
        <v>5340</v>
      </c>
      <c r="V325" s="19">
        <v>1531</v>
      </c>
      <c r="W325" s="115">
        <v>869.82500000000005</v>
      </c>
      <c r="X325" s="115">
        <f t="shared" si="88"/>
        <v>1331702.075</v>
      </c>
      <c r="Y325" s="261" t="s">
        <v>5345</v>
      </c>
      <c r="AI325" s="119">
        <v>34</v>
      </c>
      <c r="AJ325" s="119" t="s">
        <v>3666</v>
      </c>
      <c r="AK325" s="77">
        <v>18363511</v>
      </c>
      <c r="AL325" s="119">
        <v>1</v>
      </c>
      <c r="AM325" s="119">
        <f t="shared" si="92"/>
        <v>779</v>
      </c>
      <c r="AN325" s="119">
        <f t="shared" si="93"/>
        <v>14305175069</v>
      </c>
      <c r="AO325" s="119" t="s">
        <v>4638</v>
      </c>
    </row>
    <row r="326" spans="7:45">
      <c r="R326" s="97" t="s">
        <v>4643</v>
      </c>
      <c r="S326" s="93">
        <v>8981245</v>
      </c>
      <c r="U326" s="19" t="s">
        <v>5348</v>
      </c>
      <c r="V326" s="19">
        <v>1019</v>
      </c>
      <c r="W326" s="115">
        <v>835.36580000000004</v>
      </c>
      <c r="X326" s="115">
        <f t="shared" si="88"/>
        <v>851237.75020000001</v>
      </c>
      <c r="Y326" s="261" t="s">
        <v>452</v>
      </c>
      <c r="AI326" s="119">
        <v>35</v>
      </c>
      <c r="AJ326" s="119" t="s">
        <v>4643</v>
      </c>
      <c r="AK326" s="77">
        <v>23622417</v>
      </c>
      <c r="AL326" s="119">
        <v>5</v>
      </c>
      <c r="AM326" s="119">
        <f t="shared" si="92"/>
        <v>778</v>
      </c>
      <c r="AN326" s="119">
        <f t="shared" si="93"/>
        <v>18378240426</v>
      </c>
      <c r="AO326" s="119" t="s">
        <v>4645</v>
      </c>
    </row>
    <row r="327" spans="7:45">
      <c r="G327" s="94"/>
      <c r="H327" s="9" t="s">
        <v>452</v>
      </c>
      <c r="R327" s="97" t="s">
        <v>4646</v>
      </c>
      <c r="S327" s="93">
        <v>9181756</v>
      </c>
      <c r="U327" s="187" t="s">
        <v>5354</v>
      </c>
      <c r="V327" s="187">
        <v>2316</v>
      </c>
      <c r="W327" s="186">
        <v>818.697</v>
      </c>
      <c r="X327" s="186">
        <f t="shared" si="88"/>
        <v>1896102.2520000001</v>
      </c>
      <c r="Y327" s="260" t="s">
        <v>5357</v>
      </c>
      <c r="AI327" s="119">
        <v>36</v>
      </c>
      <c r="AJ327" s="119" t="s">
        <v>4657</v>
      </c>
      <c r="AK327" s="77">
        <v>82496108</v>
      </c>
      <c r="AL327" s="119">
        <v>1</v>
      </c>
      <c r="AM327" s="119">
        <f t="shared" si="92"/>
        <v>773</v>
      </c>
      <c r="AN327" s="119">
        <f t="shared" si="93"/>
        <v>63769491484</v>
      </c>
      <c r="AO327" s="119" t="s">
        <v>4660</v>
      </c>
    </row>
    <row r="328" spans="7:45">
      <c r="G328" s="94"/>
      <c r="H328" s="9" t="s">
        <v>743</v>
      </c>
      <c r="R328" s="97" t="s">
        <v>4659</v>
      </c>
      <c r="S328" s="93">
        <v>11811208</v>
      </c>
      <c r="U328" s="19" t="s">
        <v>5360</v>
      </c>
      <c r="V328" s="19">
        <v>315</v>
      </c>
      <c r="W328" s="115">
        <v>680</v>
      </c>
      <c r="X328" s="115">
        <f t="shared" si="88"/>
        <v>214200</v>
      </c>
      <c r="Y328" s="261" t="s">
        <v>5103</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4666</v>
      </c>
      <c r="S329" s="93">
        <v>41248054</v>
      </c>
      <c r="U329" s="19" t="s">
        <v>5382</v>
      </c>
      <c r="V329" s="19">
        <v>832</v>
      </c>
      <c r="W329" s="115">
        <v>784.36500000000001</v>
      </c>
      <c r="X329" s="115">
        <f t="shared" si="88"/>
        <v>652591.68000000005</v>
      </c>
      <c r="Y329" s="261" t="s">
        <v>5103</v>
      </c>
      <c r="Z329" t="s">
        <v>25</v>
      </c>
      <c r="AI329" s="97">
        <v>38</v>
      </c>
      <c r="AJ329" s="97" t="s">
        <v>4730</v>
      </c>
      <c r="AK329" s="115">
        <v>665000</v>
      </c>
      <c r="AL329" s="97">
        <v>0</v>
      </c>
      <c r="AM329" s="97">
        <f t="shared" si="92"/>
        <v>756</v>
      </c>
      <c r="AN329" s="20">
        <f t="shared" si="93"/>
        <v>502740000</v>
      </c>
      <c r="AO329" s="97"/>
    </row>
    <row r="330" spans="7:45">
      <c r="G330" s="94"/>
      <c r="H330" s="9" t="s">
        <v>1069</v>
      </c>
      <c r="R330" s="97" t="s">
        <v>4672</v>
      </c>
      <c r="S330" s="93">
        <v>37328780</v>
      </c>
      <c r="U330" s="19" t="s">
        <v>5426</v>
      </c>
      <c r="V330" s="19">
        <v>382</v>
      </c>
      <c r="W330" s="115">
        <v>1450.6065000000001</v>
      </c>
      <c r="X330" s="115">
        <f t="shared" si="88"/>
        <v>554131.68300000008</v>
      </c>
      <c r="Y330" s="261" t="s">
        <v>5103</v>
      </c>
      <c r="Z330" t="s">
        <v>25</v>
      </c>
      <c r="AI330" s="147">
        <v>39</v>
      </c>
      <c r="AJ330" s="147" t="s">
        <v>4730</v>
      </c>
      <c r="AK330" s="186">
        <v>665000</v>
      </c>
      <c r="AL330" s="147">
        <v>4</v>
      </c>
      <c r="AM330" s="192">
        <f t="shared" si="92"/>
        <v>756</v>
      </c>
      <c r="AN330" s="192">
        <f t="shared" si="93"/>
        <v>502740000</v>
      </c>
      <c r="AO330" s="192"/>
    </row>
    <row r="331" spans="7:45">
      <c r="H331" s="9" t="s">
        <v>5350</v>
      </c>
      <c r="R331" s="97" t="s">
        <v>4730</v>
      </c>
      <c r="S331" s="93">
        <v>50000000</v>
      </c>
      <c r="U331" s="19" t="s">
        <v>5427</v>
      </c>
      <c r="V331" s="19">
        <v>50047</v>
      </c>
      <c r="W331" s="115">
        <v>1406.14</v>
      </c>
      <c r="X331" s="115">
        <f t="shared" si="88"/>
        <v>70373088.579999998</v>
      </c>
      <c r="Y331" s="261" t="s">
        <v>5103</v>
      </c>
      <c r="AA331" t="s">
        <v>25</v>
      </c>
      <c r="AI331" s="20">
        <v>40</v>
      </c>
      <c r="AJ331" s="20" t="s">
        <v>4739</v>
      </c>
      <c r="AK331" s="115">
        <v>2000000</v>
      </c>
      <c r="AL331" s="20">
        <v>1</v>
      </c>
      <c r="AM331" s="97">
        <f t="shared" si="92"/>
        <v>752</v>
      </c>
      <c r="AN331" s="20">
        <f t="shared" si="93"/>
        <v>1504000000</v>
      </c>
      <c r="AO331" s="97"/>
    </row>
    <row r="332" spans="7:45">
      <c r="H332" s="9" t="s">
        <v>5513</v>
      </c>
      <c r="R332" s="97" t="s">
        <v>4739</v>
      </c>
      <c r="S332" s="93">
        <v>68656</v>
      </c>
      <c r="U332" s="19" t="s">
        <v>5428</v>
      </c>
      <c r="V332" s="19">
        <v>846</v>
      </c>
      <c r="W332" s="115">
        <v>1441.6724569999999</v>
      </c>
      <c r="X332" s="115">
        <f t="shared" si="88"/>
        <v>1219654.8986219999</v>
      </c>
      <c r="Y332" s="261" t="s">
        <v>5103</v>
      </c>
      <c r="Z332" t="s">
        <v>25</v>
      </c>
      <c r="AA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4739</v>
      </c>
      <c r="S333" s="93">
        <v>4000236</v>
      </c>
      <c r="U333" s="19" t="s">
        <v>5429</v>
      </c>
      <c r="V333" s="19">
        <v>10573</v>
      </c>
      <c r="W333" s="115">
        <v>1451.825</v>
      </c>
      <c r="X333" s="115">
        <f t="shared" si="88"/>
        <v>15350145.725</v>
      </c>
      <c r="Y333" s="261" t="s">
        <v>5103</v>
      </c>
      <c r="Z333" t="s">
        <v>25</v>
      </c>
      <c r="AI333" s="147">
        <v>42</v>
      </c>
      <c r="AJ333" s="147" t="s">
        <v>4744</v>
      </c>
      <c r="AK333" s="186">
        <v>-433375</v>
      </c>
      <c r="AL333" s="147">
        <v>0</v>
      </c>
      <c r="AM333" s="147">
        <f t="shared" si="92"/>
        <v>751</v>
      </c>
      <c r="AN333" s="147">
        <f t="shared" si="94"/>
        <v>-325464625</v>
      </c>
      <c r="AO333" s="147" t="s">
        <v>4746</v>
      </c>
    </row>
    <row r="334" spans="7:45" ht="30">
      <c r="H334" s="281" t="s">
        <v>743</v>
      </c>
      <c r="R334" s="97" t="s">
        <v>4744</v>
      </c>
      <c r="S334" s="93">
        <v>2250000</v>
      </c>
      <c r="U334" s="19" t="s">
        <v>5430</v>
      </c>
      <c r="V334" s="19">
        <v>85</v>
      </c>
      <c r="W334" s="115">
        <v>1423.74</v>
      </c>
      <c r="X334" s="115">
        <f t="shared" si="88"/>
        <v>121017.9</v>
      </c>
      <c r="Y334" s="261" t="s">
        <v>5431</v>
      </c>
      <c r="Z334" t="s">
        <v>25</v>
      </c>
      <c r="AI334" s="20">
        <v>43</v>
      </c>
      <c r="AJ334" s="20" t="s">
        <v>4744</v>
      </c>
      <c r="AK334" s="115">
        <v>28000000</v>
      </c>
      <c r="AL334" s="20">
        <v>1</v>
      </c>
      <c r="AM334" s="97">
        <f t="shared" si="92"/>
        <v>751</v>
      </c>
      <c r="AN334" s="20">
        <f t="shared" si="94"/>
        <v>21028000000</v>
      </c>
      <c r="AO334" s="97" t="s">
        <v>3873</v>
      </c>
    </row>
    <row r="335" spans="7:45" ht="30">
      <c r="H335" s="9" t="s">
        <v>5515</v>
      </c>
      <c r="R335" s="97" t="s">
        <v>4753</v>
      </c>
      <c r="S335" s="93">
        <v>-2512200</v>
      </c>
      <c r="U335" s="19" t="s">
        <v>5434</v>
      </c>
      <c r="V335" s="19">
        <v>738</v>
      </c>
      <c r="W335" s="115">
        <v>1388.87895</v>
      </c>
      <c r="X335" s="115">
        <f t="shared" si="88"/>
        <v>1024992.6651</v>
      </c>
      <c r="Y335" s="261" t="s">
        <v>5438</v>
      </c>
      <c r="Z335" t="s">
        <v>25</v>
      </c>
      <c r="AI335" s="20">
        <v>44</v>
      </c>
      <c r="AJ335" s="20" t="s">
        <v>4753</v>
      </c>
      <c r="AK335" s="115">
        <v>160000</v>
      </c>
      <c r="AL335" s="20">
        <v>0</v>
      </c>
      <c r="AM335" s="97">
        <f t="shared" si="92"/>
        <v>750</v>
      </c>
      <c r="AN335" s="20">
        <f t="shared" si="94"/>
        <v>120000000</v>
      </c>
      <c r="AO335" s="97"/>
    </row>
    <row r="336" spans="7:45">
      <c r="H336" s="9" t="s">
        <v>5516</v>
      </c>
      <c r="R336" s="97" t="s">
        <v>964</v>
      </c>
      <c r="S336" s="93">
        <v>300000</v>
      </c>
      <c r="U336" s="19" t="s">
        <v>5446</v>
      </c>
      <c r="V336" s="19">
        <v>1442</v>
      </c>
      <c r="W336" s="115">
        <v>1350.9547279999999</v>
      </c>
      <c r="X336" s="115">
        <f t="shared" si="88"/>
        <v>1948076.7177759998</v>
      </c>
      <c r="Y336" s="261" t="s">
        <v>5103</v>
      </c>
      <c r="AB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4759</v>
      </c>
      <c r="S337" s="93">
        <v>1100000</v>
      </c>
      <c r="U337" s="19" t="s">
        <v>5447</v>
      </c>
      <c r="V337" s="19">
        <v>36847</v>
      </c>
      <c r="W337" s="115">
        <v>1356.9658300000001</v>
      </c>
      <c r="X337" s="115">
        <f t="shared" si="88"/>
        <v>50000119.938010007</v>
      </c>
      <c r="Y337" s="261" t="s">
        <v>5108</v>
      </c>
      <c r="AI337" s="20">
        <v>46</v>
      </c>
      <c r="AJ337" s="20" t="s">
        <v>4759</v>
      </c>
      <c r="AK337" s="115">
        <v>850000</v>
      </c>
      <c r="AL337" s="20">
        <v>0</v>
      </c>
      <c r="AM337" s="97">
        <f t="shared" si="92"/>
        <v>741</v>
      </c>
      <c r="AN337" s="20">
        <f t="shared" si="94"/>
        <v>629850000</v>
      </c>
      <c r="AO337" s="97"/>
      <c r="AT337" t="s">
        <v>25</v>
      </c>
    </row>
    <row r="338" spans="8:47" ht="30">
      <c r="H338" s="281"/>
      <c r="R338" s="97" t="s">
        <v>4779</v>
      </c>
      <c r="S338" s="93">
        <v>890000</v>
      </c>
      <c r="U338" s="19" t="s">
        <v>5448</v>
      </c>
      <c r="V338" s="19">
        <v>13738</v>
      </c>
      <c r="W338" s="115">
        <v>1455.82</v>
      </c>
      <c r="X338" s="115">
        <f t="shared" si="88"/>
        <v>20000055.16</v>
      </c>
      <c r="Y338" s="261" t="s">
        <v>5464</v>
      </c>
      <c r="Z338" t="s">
        <v>25</v>
      </c>
      <c r="AB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4780</v>
      </c>
      <c r="S339" s="93">
        <v>1000000</v>
      </c>
      <c r="U339" s="19" t="s">
        <v>5471</v>
      </c>
      <c r="V339" s="19">
        <v>3100</v>
      </c>
      <c r="W339" s="115">
        <v>1853.4507470000001</v>
      </c>
      <c r="X339" s="115">
        <f t="shared" si="88"/>
        <v>5745697.3157000002</v>
      </c>
      <c r="Y339" s="261" t="s">
        <v>5103</v>
      </c>
      <c r="Z339" t="s">
        <v>25</v>
      </c>
      <c r="AI339" s="192">
        <v>48</v>
      </c>
      <c r="AJ339" s="192" t="s">
        <v>4772</v>
      </c>
      <c r="AK339" s="193">
        <v>30000000</v>
      </c>
      <c r="AL339" s="192">
        <v>27</v>
      </c>
      <c r="AM339" s="192">
        <f t="shared" si="95"/>
        <v>737</v>
      </c>
      <c r="AN339" s="192">
        <f t="shared" si="96"/>
        <v>22110000000</v>
      </c>
      <c r="AO339" s="192" t="s">
        <v>4773</v>
      </c>
      <c r="AT339" t="s">
        <v>25</v>
      </c>
    </row>
    <row r="340" spans="8:47">
      <c r="R340" s="97" t="s">
        <v>4780</v>
      </c>
      <c r="S340" s="93">
        <v>45436311</v>
      </c>
      <c r="U340" s="19" t="s">
        <v>5472</v>
      </c>
      <c r="V340" s="19">
        <v>480</v>
      </c>
      <c r="W340" s="115">
        <v>1891.9962069999999</v>
      </c>
      <c r="X340" s="115">
        <f t="shared" si="88"/>
        <v>908158.17935999995</v>
      </c>
      <c r="Y340" s="261" t="s">
        <v>5103</v>
      </c>
      <c r="Z340" t="s">
        <v>25</v>
      </c>
      <c r="AI340" s="20">
        <v>49</v>
      </c>
      <c r="AJ340" s="20" t="s">
        <v>4840</v>
      </c>
      <c r="AK340" s="115">
        <v>1100000</v>
      </c>
      <c r="AL340" s="20">
        <v>1</v>
      </c>
      <c r="AM340" s="20">
        <f t="shared" si="95"/>
        <v>710</v>
      </c>
      <c r="AN340" s="20">
        <f t="shared" si="96"/>
        <v>781000000</v>
      </c>
      <c r="AO340" s="20"/>
    </row>
    <row r="341" spans="8:47">
      <c r="R341" s="97" t="s">
        <v>4792</v>
      </c>
      <c r="S341" s="93">
        <v>-3500000</v>
      </c>
      <c r="U341" s="19" t="s">
        <v>5473</v>
      </c>
      <c r="V341" s="19">
        <v>6522</v>
      </c>
      <c r="W341" s="115">
        <v>1938.4694340000001</v>
      </c>
      <c r="X341" s="115">
        <f t="shared" si="88"/>
        <v>12642697.648548001</v>
      </c>
      <c r="Y341" s="261" t="s">
        <v>5103</v>
      </c>
      <c r="AI341" s="20">
        <v>50</v>
      </c>
      <c r="AJ341" s="20" t="s">
        <v>4841</v>
      </c>
      <c r="AK341" s="115">
        <v>450000</v>
      </c>
      <c r="AL341" s="20">
        <v>0</v>
      </c>
      <c r="AM341" s="20">
        <f t="shared" si="95"/>
        <v>709</v>
      </c>
      <c r="AN341" s="20">
        <f t="shared" si="96"/>
        <v>319050000</v>
      </c>
      <c r="AO341" s="20"/>
    </row>
    <row r="342" spans="8:47">
      <c r="R342" s="97" t="s">
        <v>4827</v>
      </c>
      <c r="S342" s="93">
        <v>2520000</v>
      </c>
      <c r="U342" s="19" t="s">
        <v>5474</v>
      </c>
      <c r="V342" s="19">
        <v>6197</v>
      </c>
      <c r="W342" s="115">
        <v>1984.3985499999999</v>
      </c>
      <c r="X342" s="115">
        <f t="shared" si="88"/>
        <v>12297317.81435</v>
      </c>
      <c r="Y342" s="261" t="s">
        <v>5103</v>
      </c>
      <c r="AB342" t="s">
        <v>25</v>
      </c>
      <c r="AI342" s="147">
        <v>51</v>
      </c>
      <c r="AJ342" s="147" t="s">
        <v>4841</v>
      </c>
      <c r="AK342" s="186">
        <v>550000</v>
      </c>
      <c r="AL342" s="147">
        <v>1</v>
      </c>
      <c r="AM342" s="147">
        <f t="shared" si="95"/>
        <v>709</v>
      </c>
      <c r="AN342" s="147">
        <f t="shared" si="96"/>
        <v>389950000</v>
      </c>
      <c r="AO342" s="147"/>
    </row>
    <row r="343" spans="8:47">
      <c r="R343" s="97" t="s">
        <v>4840</v>
      </c>
      <c r="S343" s="93">
        <v>4900000</v>
      </c>
      <c r="U343" s="19" t="s">
        <v>5475</v>
      </c>
      <c r="V343" s="19">
        <v>4646</v>
      </c>
      <c r="W343" s="115">
        <v>1928.464023</v>
      </c>
      <c r="X343" s="115">
        <f t="shared" si="88"/>
        <v>8959643.8508579992</v>
      </c>
      <c r="Y343" s="261" t="s">
        <v>5103</v>
      </c>
      <c r="AA343" t="s">
        <v>25</v>
      </c>
      <c r="AB343" t="s">
        <v>25</v>
      </c>
      <c r="AI343" s="147">
        <v>52</v>
      </c>
      <c r="AJ343" s="147" t="s">
        <v>4843</v>
      </c>
      <c r="AK343" s="186">
        <v>1000000</v>
      </c>
      <c r="AL343" s="147">
        <v>8</v>
      </c>
      <c r="AM343" s="147">
        <f t="shared" si="95"/>
        <v>708</v>
      </c>
      <c r="AN343" s="147">
        <f t="shared" si="96"/>
        <v>708000000</v>
      </c>
      <c r="AO343" s="147"/>
    </row>
    <row r="344" spans="8:47">
      <c r="R344" s="97" t="s">
        <v>4799</v>
      </c>
      <c r="S344" s="93">
        <v>1150000</v>
      </c>
      <c r="U344" s="19" t="s">
        <v>5476</v>
      </c>
      <c r="V344" s="19">
        <v>7668</v>
      </c>
      <c r="W344" s="115">
        <v>1976.2774959999999</v>
      </c>
      <c r="X344" s="115">
        <f t="shared" si="88"/>
        <v>15154095.839328</v>
      </c>
      <c r="Y344" s="261" t="s">
        <v>5103</v>
      </c>
      <c r="AI344" s="20">
        <v>53</v>
      </c>
      <c r="AJ344" s="20" t="s">
        <v>4852</v>
      </c>
      <c r="AK344" s="115">
        <v>-2668880</v>
      </c>
      <c r="AL344" s="20">
        <v>0</v>
      </c>
      <c r="AM344" s="20">
        <f t="shared" si="95"/>
        <v>700</v>
      </c>
      <c r="AN344" s="20">
        <f t="shared" si="96"/>
        <v>-1868216000</v>
      </c>
      <c r="AO344" s="20" t="s">
        <v>4854</v>
      </c>
    </row>
    <row r="345" spans="8:47" ht="30">
      <c r="R345" s="97" t="s">
        <v>4874</v>
      </c>
      <c r="S345" s="93">
        <v>250000</v>
      </c>
      <c r="U345" s="19" t="s">
        <v>5483</v>
      </c>
      <c r="V345" s="19">
        <v>-43325</v>
      </c>
      <c r="W345" s="115">
        <v>2146.5548840000001</v>
      </c>
      <c r="X345" s="115">
        <f t="shared" si="88"/>
        <v>-92999490.349300012</v>
      </c>
      <c r="Y345" s="261" t="s">
        <v>5484</v>
      </c>
      <c r="Z345" t="s">
        <v>25</v>
      </c>
      <c r="AI345" s="147">
        <v>54</v>
      </c>
      <c r="AJ345" s="147" t="s">
        <v>4852</v>
      </c>
      <c r="AK345" s="186">
        <v>-1528620</v>
      </c>
      <c r="AL345" s="147">
        <v>0</v>
      </c>
      <c r="AM345" s="147">
        <f t="shared" si="95"/>
        <v>700</v>
      </c>
      <c r="AN345" s="147">
        <f t="shared" si="96"/>
        <v>-1070034000</v>
      </c>
      <c r="AO345" s="147" t="s">
        <v>4854</v>
      </c>
    </row>
    <row r="346" spans="8:47">
      <c r="R346" s="97" t="s">
        <v>4877</v>
      </c>
      <c r="S346" s="93">
        <v>1403460</v>
      </c>
      <c r="T346" s="112"/>
      <c r="U346" s="19" t="s">
        <v>5491</v>
      </c>
      <c r="V346" s="19">
        <v>20888</v>
      </c>
      <c r="W346" s="115">
        <v>2428.4521530000002</v>
      </c>
      <c r="X346" s="115">
        <f t="shared" si="88"/>
        <v>50725508.571864001</v>
      </c>
      <c r="Y346" s="261" t="s">
        <v>5103</v>
      </c>
      <c r="AI346" s="20">
        <v>55</v>
      </c>
      <c r="AJ346" s="20" t="s">
        <v>4852</v>
      </c>
      <c r="AK346" s="115">
        <v>50000000</v>
      </c>
      <c r="AL346" s="20">
        <v>4</v>
      </c>
      <c r="AM346" s="20">
        <f t="shared" si="95"/>
        <v>700</v>
      </c>
      <c r="AN346" s="20">
        <f t="shared" si="96"/>
        <v>35000000000</v>
      </c>
      <c r="AO346" s="20"/>
    </row>
    <row r="347" spans="8:47">
      <c r="R347" s="97" t="s">
        <v>4882</v>
      </c>
      <c r="S347" s="93">
        <v>200000</v>
      </c>
      <c r="U347" s="19" t="s">
        <v>5492</v>
      </c>
      <c r="V347" s="19">
        <v>21663</v>
      </c>
      <c r="W347" s="115">
        <v>2308.0067819999999</v>
      </c>
      <c r="X347" s="115">
        <f t="shared" si="88"/>
        <v>49998350.918466002</v>
      </c>
      <c r="Y347" s="261" t="s">
        <v>5495</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4887</v>
      </c>
      <c r="S348" s="93">
        <v>345000</v>
      </c>
      <c r="U348" s="19" t="s">
        <v>5492</v>
      </c>
      <c r="V348" s="19">
        <v>977</v>
      </c>
      <c r="W348" s="115">
        <v>2335.6821479999999</v>
      </c>
      <c r="X348" s="115">
        <f t="shared" si="88"/>
        <v>2281961.458596</v>
      </c>
      <c r="Y348" s="261" t="s">
        <v>5103</v>
      </c>
      <c r="AI348" s="20">
        <v>57</v>
      </c>
      <c r="AJ348" s="20" t="s">
        <v>4867</v>
      </c>
      <c r="AK348" s="115">
        <v>2000000</v>
      </c>
      <c r="AL348" s="20">
        <v>3</v>
      </c>
      <c r="AM348" s="20">
        <f t="shared" si="97"/>
        <v>692</v>
      </c>
      <c r="AN348" s="20">
        <f t="shared" si="98"/>
        <v>1384000000</v>
      </c>
      <c r="AO348" s="20"/>
    </row>
    <row r="349" spans="8:47">
      <c r="R349" s="97" t="s">
        <v>4890</v>
      </c>
      <c r="S349" s="93">
        <v>900000</v>
      </c>
      <c r="U349" s="19" t="s">
        <v>5499</v>
      </c>
      <c r="V349" s="19">
        <v>4155</v>
      </c>
      <c r="W349" s="115">
        <v>2647</v>
      </c>
      <c r="X349" s="115">
        <f t="shared" si="88"/>
        <v>10998285</v>
      </c>
      <c r="Y349" s="261" t="s">
        <v>5103</v>
      </c>
      <c r="AI349" s="20">
        <v>58</v>
      </c>
      <c r="AJ349" s="20" t="s">
        <v>4870</v>
      </c>
      <c r="AK349" s="115">
        <v>100000</v>
      </c>
      <c r="AL349" s="20">
        <v>4</v>
      </c>
      <c r="AM349" s="20">
        <f t="shared" si="97"/>
        <v>689</v>
      </c>
      <c r="AN349" s="20">
        <f t="shared" si="98"/>
        <v>68900000</v>
      </c>
      <c r="AO349" s="20" t="s">
        <v>3873</v>
      </c>
    </row>
    <row r="350" spans="8:47">
      <c r="R350" s="97" t="s">
        <v>4898</v>
      </c>
      <c r="S350" s="93">
        <v>372517</v>
      </c>
      <c r="U350" s="19" t="s">
        <v>5500</v>
      </c>
      <c r="V350" s="19">
        <v>351</v>
      </c>
      <c r="W350" s="115">
        <v>2800.6238229999999</v>
      </c>
      <c r="X350" s="115">
        <f t="shared" si="88"/>
        <v>983018.96187300002</v>
      </c>
      <c r="Y350" s="261" t="s">
        <v>5103</v>
      </c>
      <c r="Z350" t="s">
        <v>25</v>
      </c>
      <c r="AI350" s="20">
        <v>59</v>
      </c>
      <c r="AJ350" s="20" t="s">
        <v>4877</v>
      </c>
      <c r="AK350" s="115">
        <v>100000</v>
      </c>
      <c r="AL350" s="20">
        <v>7</v>
      </c>
      <c r="AM350" s="20">
        <f t="shared" si="97"/>
        <v>685</v>
      </c>
      <c r="AN350" s="20">
        <f t="shared" si="98"/>
        <v>68500000</v>
      </c>
      <c r="AO350" s="20"/>
    </row>
    <row r="351" spans="8:47">
      <c r="R351" s="97" t="s">
        <v>4931</v>
      </c>
      <c r="S351" s="93">
        <v>6489257</v>
      </c>
      <c r="U351" s="19" t="s">
        <v>5502</v>
      </c>
      <c r="V351" s="19">
        <v>5877</v>
      </c>
      <c r="W351" s="115">
        <v>2901.0160000000001</v>
      </c>
      <c r="X351" s="115">
        <f t="shared" si="88"/>
        <v>17049271.032000002</v>
      </c>
      <c r="Y351" s="261" t="s">
        <v>5103</v>
      </c>
      <c r="Z351" t="s">
        <v>25</v>
      </c>
      <c r="AI351" s="20">
        <v>60</v>
      </c>
      <c r="AJ351" s="20" t="s">
        <v>4890</v>
      </c>
      <c r="AK351" s="115">
        <v>50000</v>
      </c>
      <c r="AL351" s="20">
        <v>0</v>
      </c>
      <c r="AM351" s="20">
        <f t="shared" si="97"/>
        <v>678</v>
      </c>
      <c r="AN351" s="20">
        <f t="shared" si="98"/>
        <v>33900000</v>
      </c>
      <c r="AO351" s="20"/>
    </row>
    <row r="352" spans="8:47">
      <c r="R352" s="97" t="s">
        <v>4942</v>
      </c>
      <c r="S352" s="93">
        <v>618000</v>
      </c>
      <c r="U352" s="19" t="s">
        <v>5505</v>
      </c>
      <c r="V352" s="19">
        <v>2374</v>
      </c>
      <c r="W352" s="115">
        <v>2877</v>
      </c>
      <c r="X352" s="115">
        <f t="shared" ref="X352:X389" si="99">V352*W352</f>
        <v>6829998</v>
      </c>
      <c r="Y352" s="261" t="s">
        <v>5103</v>
      </c>
      <c r="AI352" s="147">
        <v>61</v>
      </c>
      <c r="AJ352" s="147" t="s">
        <v>4890</v>
      </c>
      <c r="AK352" s="186">
        <v>50000</v>
      </c>
      <c r="AL352" s="147">
        <v>3</v>
      </c>
      <c r="AM352" s="147">
        <f t="shared" si="97"/>
        <v>678</v>
      </c>
      <c r="AN352" s="147">
        <f t="shared" si="98"/>
        <v>33900000</v>
      </c>
      <c r="AO352" s="147"/>
    </row>
    <row r="353" spans="18:46">
      <c r="R353" s="97" t="s">
        <v>4946</v>
      </c>
      <c r="S353" s="93">
        <v>20105000</v>
      </c>
      <c r="U353" s="19" t="s">
        <v>4209</v>
      </c>
      <c r="V353" s="19">
        <v>2532</v>
      </c>
      <c r="W353" s="115">
        <v>2757.7444</v>
      </c>
      <c r="X353" s="115">
        <f t="shared" si="99"/>
        <v>6982608.8207999999</v>
      </c>
      <c r="Y353" s="261" t="s">
        <v>5103</v>
      </c>
      <c r="AI353" s="20">
        <v>62</v>
      </c>
      <c r="AJ353" s="20" t="s">
        <v>4893</v>
      </c>
      <c r="AK353" s="115">
        <v>50000</v>
      </c>
      <c r="AL353" s="20">
        <v>0</v>
      </c>
      <c r="AM353" s="20">
        <f t="shared" si="97"/>
        <v>675</v>
      </c>
      <c r="AN353" s="20">
        <f t="shared" si="98"/>
        <v>33750000</v>
      </c>
      <c r="AO353" s="20"/>
    </row>
    <row r="354" spans="18:46">
      <c r="R354" s="97" t="s">
        <v>4947</v>
      </c>
      <c r="S354" s="93">
        <v>-21079990</v>
      </c>
      <c r="U354" s="19" t="s">
        <v>4209</v>
      </c>
      <c r="V354" s="19">
        <v>4987</v>
      </c>
      <c r="W354" s="115">
        <v>2757.7444</v>
      </c>
      <c r="X354" s="115">
        <f t="shared" si="99"/>
        <v>13752871.322800001</v>
      </c>
      <c r="Y354" s="261" t="s">
        <v>5520</v>
      </c>
      <c r="Z354" t="s">
        <v>25</v>
      </c>
      <c r="AI354" s="192">
        <v>63</v>
      </c>
      <c r="AJ354" s="192" t="s">
        <v>4893</v>
      </c>
      <c r="AK354" s="193">
        <v>50000</v>
      </c>
      <c r="AL354" s="192">
        <v>2</v>
      </c>
      <c r="AM354" s="192">
        <f t="shared" si="97"/>
        <v>675</v>
      </c>
      <c r="AN354" s="192">
        <f t="shared" si="98"/>
        <v>33750000</v>
      </c>
      <c r="AO354" s="192"/>
    </row>
    <row r="355" spans="18:46">
      <c r="R355" s="97" t="s">
        <v>4953</v>
      </c>
      <c r="S355" s="93">
        <v>-5949277</v>
      </c>
      <c r="T355" t="s">
        <v>25</v>
      </c>
      <c r="U355" s="19" t="s">
        <v>4209</v>
      </c>
      <c r="V355" s="19">
        <v>997</v>
      </c>
      <c r="W355" s="115">
        <v>2757.7444</v>
      </c>
      <c r="X355" s="115">
        <f t="shared" si="99"/>
        <v>2749471.1668000002</v>
      </c>
      <c r="Y355" s="261" t="s">
        <v>5521</v>
      </c>
      <c r="AI355" s="20">
        <v>64</v>
      </c>
      <c r="AJ355" s="20" t="s">
        <v>4900</v>
      </c>
      <c r="AK355" s="115">
        <v>25000</v>
      </c>
      <c r="AL355" s="20">
        <v>0</v>
      </c>
      <c r="AM355" s="20">
        <f t="shared" si="97"/>
        <v>673</v>
      </c>
      <c r="AN355" s="20">
        <f t="shared" si="98"/>
        <v>16825000</v>
      </c>
      <c r="AO355" s="20"/>
    </row>
    <row r="356" spans="18:46">
      <c r="R356" s="97" t="s">
        <v>4959</v>
      </c>
      <c r="S356" s="93">
        <v>-15370656</v>
      </c>
      <c r="U356" s="19" t="s">
        <v>5525</v>
      </c>
      <c r="V356" s="19">
        <v>2874</v>
      </c>
      <c r="W356" s="115">
        <v>2613.1284000000001</v>
      </c>
      <c r="X356" s="115">
        <f t="shared" si="99"/>
        <v>7510131.0216000006</v>
      </c>
      <c r="Y356" s="261" t="s">
        <v>5103</v>
      </c>
      <c r="AI356" s="147">
        <v>65</v>
      </c>
      <c r="AJ356" s="147" t="s">
        <v>4900</v>
      </c>
      <c r="AK356" s="186">
        <v>35000</v>
      </c>
      <c r="AL356" s="147">
        <v>7</v>
      </c>
      <c r="AM356" s="147">
        <f t="shared" si="97"/>
        <v>673</v>
      </c>
      <c r="AN356" s="147">
        <f t="shared" si="98"/>
        <v>23555000</v>
      </c>
      <c r="AO356" s="147"/>
    </row>
    <row r="357" spans="18:46">
      <c r="R357" s="97" t="s">
        <v>4959</v>
      </c>
      <c r="S357" s="93">
        <v>4960000</v>
      </c>
      <c r="U357" s="19" t="s">
        <v>5531</v>
      </c>
      <c r="V357" s="19">
        <v>2847</v>
      </c>
      <c r="W357" s="115">
        <v>2556.3841000000002</v>
      </c>
      <c r="X357" s="115">
        <f t="shared" si="99"/>
        <v>7278025.5327000003</v>
      </c>
      <c r="Y357" s="261" t="s">
        <v>5103</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4966</v>
      </c>
      <c r="S358" s="93">
        <v>10000000</v>
      </c>
      <c r="U358" s="19" t="s">
        <v>5531</v>
      </c>
      <c r="V358" s="19">
        <v>1222</v>
      </c>
      <c r="W358" s="115">
        <v>2556.3841000000002</v>
      </c>
      <c r="X358" s="115">
        <f t="shared" si="99"/>
        <v>3123901.3702000002</v>
      </c>
      <c r="Y358" s="261" t="s">
        <v>5532</v>
      </c>
      <c r="AI358" s="20">
        <v>67</v>
      </c>
      <c r="AJ358" s="20" t="s">
        <v>4908</v>
      </c>
      <c r="AK358" s="115">
        <v>6800000</v>
      </c>
      <c r="AL358" s="20">
        <v>1</v>
      </c>
      <c r="AM358" s="20">
        <f t="shared" si="100"/>
        <v>666</v>
      </c>
      <c r="AN358" s="20">
        <f t="shared" si="101"/>
        <v>4528800000</v>
      </c>
      <c r="AO358" s="20"/>
      <c r="AT358" t="s">
        <v>25</v>
      </c>
    </row>
    <row r="359" spans="18:46" ht="21" customHeight="1">
      <c r="R359" s="97" t="s">
        <v>4975</v>
      </c>
      <c r="S359" s="93">
        <v>-40570100</v>
      </c>
      <c r="U359" s="19" t="s">
        <v>5540</v>
      </c>
      <c r="V359" s="19">
        <v>73</v>
      </c>
      <c r="W359" s="115">
        <v>2672.0459999999998</v>
      </c>
      <c r="X359" s="115">
        <f t="shared" si="99"/>
        <v>195059.35799999998</v>
      </c>
      <c r="Y359" s="261" t="s">
        <v>5103</v>
      </c>
      <c r="AI359" s="20">
        <v>68</v>
      </c>
      <c r="AJ359" s="20" t="s">
        <v>4911</v>
      </c>
      <c r="AK359" s="115">
        <v>500000</v>
      </c>
      <c r="AL359" s="20">
        <v>1</v>
      </c>
      <c r="AM359" s="20">
        <f t="shared" si="100"/>
        <v>665</v>
      </c>
      <c r="AN359" s="20">
        <f t="shared" si="101"/>
        <v>332500000</v>
      </c>
      <c r="AO359" s="20"/>
    </row>
    <row r="360" spans="18:46" ht="30">
      <c r="R360" s="97" t="s">
        <v>4976</v>
      </c>
      <c r="S360" s="93">
        <v>1000000</v>
      </c>
      <c r="U360" s="19" t="s">
        <v>5545</v>
      </c>
      <c r="V360" s="19">
        <v>332</v>
      </c>
      <c r="W360" s="115">
        <v>2598.1260000000002</v>
      </c>
      <c r="X360" s="115">
        <f t="shared" si="99"/>
        <v>862577.83200000005</v>
      </c>
      <c r="Y360" s="261" t="s">
        <v>5546</v>
      </c>
      <c r="Z360" t="s">
        <v>25</v>
      </c>
      <c r="AA360" t="s">
        <v>25</v>
      </c>
      <c r="AI360" s="20">
        <v>69</v>
      </c>
      <c r="AJ360" s="20" t="s">
        <v>4915</v>
      </c>
      <c r="AK360" s="115">
        <v>850000</v>
      </c>
      <c r="AL360" s="20">
        <v>5</v>
      </c>
      <c r="AM360" s="20">
        <f t="shared" si="100"/>
        <v>664</v>
      </c>
      <c r="AN360" s="20">
        <f t="shared" si="101"/>
        <v>564400000</v>
      </c>
      <c r="AO360" s="20"/>
    </row>
    <row r="361" spans="18:46">
      <c r="R361" s="97" t="s">
        <v>4983</v>
      </c>
      <c r="S361" s="93">
        <v>400000</v>
      </c>
      <c r="U361" s="19" t="s">
        <v>5547</v>
      </c>
      <c r="V361" s="19">
        <v>346</v>
      </c>
      <c r="W361" s="115">
        <v>2659.8510000000001</v>
      </c>
      <c r="X361" s="115">
        <f t="shared" si="99"/>
        <v>920308.446</v>
      </c>
      <c r="Y361" s="261" t="s">
        <v>5103</v>
      </c>
      <c r="AI361" s="20">
        <v>70</v>
      </c>
      <c r="AJ361" s="20" t="s">
        <v>4923</v>
      </c>
      <c r="AK361" s="115">
        <v>1130250</v>
      </c>
      <c r="AL361" s="20">
        <v>0</v>
      </c>
      <c r="AM361" s="20">
        <f t="shared" si="100"/>
        <v>659</v>
      </c>
      <c r="AN361" s="20">
        <f t="shared" si="101"/>
        <v>744834750</v>
      </c>
      <c r="AO361" s="20"/>
    </row>
    <row r="362" spans="18:46" ht="18.75" customHeight="1">
      <c r="R362" s="97" t="s">
        <v>4997</v>
      </c>
      <c r="S362" s="93">
        <v>120000</v>
      </c>
      <c r="U362" s="19" t="s">
        <v>5548</v>
      </c>
      <c r="V362" s="19">
        <v>1722</v>
      </c>
      <c r="W362" s="115">
        <v>2692.1079220000001</v>
      </c>
      <c r="X362" s="115">
        <f t="shared" si="99"/>
        <v>4635809.8416840006</v>
      </c>
      <c r="Y362" s="261" t="s">
        <v>5103</v>
      </c>
      <c r="Z362" t="s">
        <v>25</v>
      </c>
      <c r="AI362" s="240">
        <v>71</v>
      </c>
      <c r="AJ362" s="240" t="s">
        <v>4923</v>
      </c>
      <c r="AK362" s="231">
        <v>30000</v>
      </c>
      <c r="AL362" s="240">
        <v>5</v>
      </c>
      <c r="AM362" s="240">
        <f t="shared" si="100"/>
        <v>659</v>
      </c>
      <c r="AN362" s="240">
        <f t="shared" si="101"/>
        <v>19770000</v>
      </c>
      <c r="AO362" s="240"/>
    </row>
    <row r="363" spans="18:46">
      <c r="R363" s="97" t="s">
        <v>4988</v>
      </c>
      <c r="S363" s="93">
        <v>500000</v>
      </c>
      <c r="U363" s="19" t="s">
        <v>5550</v>
      </c>
      <c r="V363" s="19">
        <v>106</v>
      </c>
      <c r="W363" s="115">
        <v>2725.4</v>
      </c>
      <c r="X363" s="115">
        <f t="shared" si="99"/>
        <v>288892.40000000002</v>
      </c>
      <c r="Y363" s="261" t="s">
        <v>452</v>
      </c>
      <c r="Z363" t="s">
        <v>25</v>
      </c>
      <c r="AA363" t="s">
        <v>25</v>
      </c>
      <c r="AI363" s="20">
        <v>72</v>
      </c>
      <c r="AJ363" s="20" t="s">
        <v>4931</v>
      </c>
      <c r="AK363" s="115">
        <v>206000</v>
      </c>
      <c r="AL363" s="20">
        <v>0</v>
      </c>
      <c r="AM363" s="20">
        <f t="shared" si="100"/>
        <v>654</v>
      </c>
      <c r="AN363" s="20">
        <f t="shared" si="101"/>
        <v>134724000</v>
      </c>
      <c r="AO363" s="20"/>
    </row>
    <row r="364" spans="18:46">
      <c r="R364" s="97" t="s">
        <v>5013</v>
      </c>
      <c r="S364" s="93">
        <v>744000</v>
      </c>
      <c r="U364" s="19" t="s">
        <v>5578</v>
      </c>
      <c r="V364" s="19">
        <v>25901</v>
      </c>
      <c r="W364" s="115">
        <v>2258.9090000000001</v>
      </c>
      <c r="X364" s="115">
        <f t="shared" si="99"/>
        <v>58508002.009000003</v>
      </c>
      <c r="Y364" s="261" t="s">
        <v>5103</v>
      </c>
      <c r="AI364" s="147">
        <v>73</v>
      </c>
      <c r="AJ364" s="147" t="s">
        <v>4931</v>
      </c>
      <c r="AK364" s="186">
        <v>206000</v>
      </c>
      <c r="AL364" s="147">
        <v>2</v>
      </c>
      <c r="AM364" s="147">
        <f t="shared" si="100"/>
        <v>654</v>
      </c>
      <c r="AN364" s="147">
        <f t="shared" si="101"/>
        <v>134724000</v>
      </c>
      <c r="AO364" s="147"/>
    </row>
    <row r="365" spans="18:46">
      <c r="R365" s="97" t="s">
        <v>5018</v>
      </c>
      <c r="S365" s="93">
        <v>65000</v>
      </c>
      <c r="U365" s="19" t="s">
        <v>5580</v>
      </c>
      <c r="V365" s="19">
        <v>951</v>
      </c>
      <c r="W365" s="115">
        <v>2361.2150799999999</v>
      </c>
      <c r="X365" s="115">
        <f t="shared" si="99"/>
        <v>2245515.5410799999</v>
      </c>
      <c r="Y365" s="261" t="s">
        <v>5103</v>
      </c>
      <c r="AI365" s="20">
        <v>74</v>
      </c>
      <c r="AJ365" s="20" t="s">
        <v>4938</v>
      </c>
      <c r="AK365" s="115">
        <v>50000</v>
      </c>
      <c r="AL365" s="20">
        <v>0</v>
      </c>
      <c r="AM365" s="20">
        <f t="shared" si="100"/>
        <v>652</v>
      </c>
      <c r="AN365" s="20">
        <f t="shared" si="101"/>
        <v>32600000</v>
      </c>
      <c r="AO365" s="20"/>
    </row>
    <row r="366" spans="18:46">
      <c r="R366" s="97" t="s">
        <v>4989</v>
      </c>
      <c r="S366" s="93">
        <v>-14053702</v>
      </c>
      <c r="U366" s="19" t="s">
        <v>5582</v>
      </c>
      <c r="V366" s="19">
        <v>7622</v>
      </c>
      <c r="W366" s="115">
        <v>2414.6810999999998</v>
      </c>
      <c r="X366" s="115">
        <f t="shared" si="99"/>
        <v>18404699.3442</v>
      </c>
      <c r="Y366" s="261" t="s">
        <v>5103</v>
      </c>
      <c r="AI366" s="240">
        <v>75</v>
      </c>
      <c r="AJ366" s="240" t="s">
        <v>4938</v>
      </c>
      <c r="AK366" s="231">
        <v>50000</v>
      </c>
      <c r="AL366" s="240">
        <v>2</v>
      </c>
      <c r="AM366" s="240">
        <f t="shared" si="100"/>
        <v>652</v>
      </c>
      <c r="AN366" s="240">
        <f t="shared" si="101"/>
        <v>32600000</v>
      </c>
      <c r="AO366" s="240"/>
    </row>
    <row r="367" spans="18:46">
      <c r="R367" s="97" t="s">
        <v>5054</v>
      </c>
      <c r="S367" s="93">
        <v>3555678</v>
      </c>
      <c r="U367" s="19" t="s">
        <v>5582</v>
      </c>
      <c r="V367" s="19">
        <v>-282</v>
      </c>
      <c r="W367" s="115">
        <v>2414.6810999999998</v>
      </c>
      <c r="X367" s="115">
        <f t="shared" si="99"/>
        <v>-680940.07019999996</v>
      </c>
      <c r="Y367" s="261" t="s">
        <v>5583</v>
      </c>
      <c r="AI367" s="20">
        <v>76</v>
      </c>
      <c r="AJ367" s="20" t="s">
        <v>4942</v>
      </c>
      <c r="AK367" s="115">
        <v>20000000</v>
      </c>
      <c r="AL367" s="20">
        <v>7</v>
      </c>
      <c r="AM367" s="20">
        <f t="shared" si="100"/>
        <v>650</v>
      </c>
      <c r="AN367" s="20">
        <f t="shared" si="101"/>
        <v>13000000000</v>
      </c>
      <c r="AO367" s="20" t="s">
        <v>4943</v>
      </c>
    </row>
    <row r="368" spans="18:46">
      <c r="R368" s="97" t="s">
        <v>5058</v>
      </c>
      <c r="S368" s="93">
        <v>3495</v>
      </c>
      <c r="U368" s="19" t="s">
        <v>5582</v>
      </c>
      <c r="V368" s="19">
        <v>20162</v>
      </c>
      <c r="W368" s="115">
        <v>2414.6810999999998</v>
      </c>
      <c r="X368" s="115">
        <f t="shared" si="99"/>
        <v>48684800.338199995</v>
      </c>
      <c r="Y368" s="261" t="s">
        <v>5584</v>
      </c>
      <c r="AC368" t="s">
        <v>25</v>
      </c>
      <c r="AI368" s="20">
        <v>77</v>
      </c>
      <c r="AJ368" s="20" t="s">
        <v>4953</v>
      </c>
      <c r="AK368" s="115">
        <v>50000</v>
      </c>
      <c r="AL368" s="20">
        <v>0</v>
      </c>
      <c r="AM368" s="20">
        <f t="shared" si="100"/>
        <v>643</v>
      </c>
      <c r="AN368" s="20">
        <f t="shared" si="101"/>
        <v>32150000</v>
      </c>
      <c r="AO368" s="20"/>
    </row>
    <row r="369" spans="18:46">
      <c r="R369" s="97" t="s">
        <v>5060</v>
      </c>
      <c r="S369" s="93">
        <v>6000000</v>
      </c>
      <c r="U369" s="19" t="s">
        <v>5582</v>
      </c>
      <c r="V369" s="19">
        <v>-20162</v>
      </c>
      <c r="W369" s="115">
        <v>2414.6810999999998</v>
      </c>
      <c r="X369" s="115">
        <f t="shared" si="99"/>
        <v>-48684800.338199995</v>
      </c>
      <c r="Y369" s="261" t="s">
        <v>743</v>
      </c>
      <c r="AI369" s="147">
        <v>78</v>
      </c>
      <c r="AJ369" s="147" t="s">
        <v>4953</v>
      </c>
      <c r="AK369" s="186">
        <v>50000</v>
      </c>
      <c r="AL369" s="147">
        <v>7</v>
      </c>
      <c r="AM369" s="147">
        <f t="shared" si="100"/>
        <v>643</v>
      </c>
      <c r="AN369" s="147">
        <f t="shared" si="101"/>
        <v>32150000</v>
      </c>
      <c r="AO369" s="147"/>
    </row>
    <row r="370" spans="18:46">
      <c r="R370" s="97" t="s">
        <v>5061</v>
      </c>
      <c r="S370" s="93">
        <v>17220</v>
      </c>
      <c r="U370" s="19" t="s">
        <v>5585</v>
      </c>
      <c r="V370" s="19">
        <v>977</v>
      </c>
      <c r="W370" s="115">
        <v>2317.971947</v>
      </c>
      <c r="X370" s="115">
        <f t="shared" si="99"/>
        <v>2264658.5922190002</v>
      </c>
      <c r="Y370" s="261" t="s">
        <v>5103</v>
      </c>
      <c r="AI370" s="20">
        <v>79</v>
      </c>
      <c r="AJ370" s="20" t="s">
        <v>4959</v>
      </c>
      <c r="AK370" s="115">
        <v>2480000</v>
      </c>
      <c r="AL370" s="20">
        <v>0</v>
      </c>
      <c r="AM370" s="20">
        <f t="shared" si="100"/>
        <v>636</v>
      </c>
      <c r="AN370" s="20">
        <f t="shared" si="101"/>
        <v>1577280000</v>
      </c>
      <c r="AO370" s="20"/>
    </row>
    <row r="371" spans="18:46">
      <c r="R371" s="97" t="s">
        <v>5063</v>
      </c>
      <c r="S371" s="93">
        <v>8249</v>
      </c>
      <c r="T371" t="s">
        <v>25</v>
      </c>
      <c r="U371" s="19" t="s">
        <v>5587</v>
      </c>
      <c r="V371" s="19">
        <v>10280</v>
      </c>
      <c r="W371" s="115">
        <v>2225.429357</v>
      </c>
      <c r="X371" s="115">
        <f t="shared" si="99"/>
        <v>22877413.789960001</v>
      </c>
      <c r="Y371" s="261" t="s">
        <v>5103</v>
      </c>
      <c r="AI371" s="147">
        <v>80</v>
      </c>
      <c r="AJ371" s="147" t="s">
        <v>4959</v>
      </c>
      <c r="AK371" s="186">
        <v>2480000</v>
      </c>
      <c r="AL371" s="147">
        <v>12</v>
      </c>
      <c r="AM371" s="147">
        <f t="shared" si="100"/>
        <v>636</v>
      </c>
      <c r="AN371" s="147">
        <f t="shared" si="101"/>
        <v>1577280000</v>
      </c>
      <c r="AO371" s="147"/>
    </row>
    <row r="372" spans="18:46">
      <c r="R372" s="97" t="s">
        <v>5063</v>
      </c>
      <c r="S372" s="93">
        <v>6937</v>
      </c>
      <c r="U372" s="19" t="s">
        <v>5590</v>
      </c>
      <c r="V372" s="19">
        <v>1022</v>
      </c>
      <c r="W372" s="115">
        <v>2311.6824240000001</v>
      </c>
      <c r="X372" s="115">
        <f t="shared" si="99"/>
        <v>2362539.4373280001</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5066</v>
      </c>
      <c r="S373" s="93">
        <v>4046552</v>
      </c>
      <c r="U373" s="19" t="s">
        <v>5591</v>
      </c>
      <c r="V373" s="19">
        <v>6818</v>
      </c>
      <c r="W373" s="115">
        <v>2352.988656</v>
      </c>
      <c r="X373" s="115">
        <f t="shared" si="99"/>
        <v>16042676.656608</v>
      </c>
      <c r="Y373" s="261" t="s">
        <v>5103</v>
      </c>
      <c r="AI373" s="20">
        <v>82</v>
      </c>
      <c r="AJ373" s="20" t="s">
        <v>4976</v>
      </c>
      <c r="AK373" s="115">
        <v>400000</v>
      </c>
      <c r="AL373" s="20">
        <v>3</v>
      </c>
      <c r="AM373" s="20">
        <f t="shared" si="100"/>
        <v>620</v>
      </c>
      <c r="AN373" s="20">
        <f t="shared" si="101"/>
        <v>248000000</v>
      </c>
      <c r="AO373" s="20"/>
    </row>
    <row r="374" spans="18:46">
      <c r="R374" s="97" t="s">
        <v>5073</v>
      </c>
      <c r="S374" s="93">
        <v>-3884943</v>
      </c>
      <c r="U374" s="19" t="s">
        <v>5592</v>
      </c>
      <c r="V374" s="19">
        <v>8023</v>
      </c>
      <c r="W374" s="115">
        <v>2293.8167079999998</v>
      </c>
      <c r="X374" s="115">
        <f t="shared" si="99"/>
        <v>18403291.448284</v>
      </c>
      <c r="Y374" s="261" t="s">
        <v>5103</v>
      </c>
      <c r="AI374" s="147">
        <v>83</v>
      </c>
      <c r="AJ374" s="147" t="s">
        <v>4983</v>
      </c>
      <c r="AK374" s="186">
        <v>40000</v>
      </c>
      <c r="AL374" s="147">
        <v>0</v>
      </c>
      <c r="AM374" s="147">
        <f t="shared" si="100"/>
        <v>617</v>
      </c>
      <c r="AN374" s="147">
        <f t="shared" si="101"/>
        <v>24680000</v>
      </c>
      <c r="AO374" s="147"/>
      <c r="AT374" t="s">
        <v>25</v>
      </c>
    </row>
    <row r="375" spans="18:46">
      <c r="R375" s="97" t="s">
        <v>5099</v>
      </c>
      <c r="S375" s="93">
        <v>6022</v>
      </c>
      <c r="U375" s="19" t="s">
        <v>5595</v>
      </c>
      <c r="V375" s="19">
        <v>4666</v>
      </c>
      <c r="W375" s="115">
        <v>2263.4906230000001</v>
      </c>
      <c r="X375" s="115">
        <f t="shared" si="99"/>
        <v>10561447.246918</v>
      </c>
      <c r="Y375" s="261" t="s">
        <v>5103</v>
      </c>
      <c r="AI375" s="20">
        <v>84</v>
      </c>
      <c r="AJ375" s="20" t="s">
        <v>4983</v>
      </c>
      <c r="AK375" s="115">
        <v>40000</v>
      </c>
      <c r="AL375" s="20">
        <v>5</v>
      </c>
      <c r="AM375" s="20">
        <f t="shared" si="100"/>
        <v>617</v>
      </c>
      <c r="AN375" s="20">
        <f t="shared" si="101"/>
        <v>24680000</v>
      </c>
      <c r="AO375" s="20"/>
    </row>
    <row r="376" spans="18:46">
      <c r="R376" s="97" t="s">
        <v>5102</v>
      </c>
      <c r="S376" s="93">
        <v>400000</v>
      </c>
      <c r="U376" s="19" t="s">
        <v>5596</v>
      </c>
      <c r="V376" s="19">
        <v>542</v>
      </c>
      <c r="W376" s="115">
        <v>2263.4906230000001</v>
      </c>
      <c r="X376" s="115">
        <f t="shared" si="99"/>
        <v>1226811.9176660001</v>
      </c>
      <c r="Y376" s="261" t="s">
        <v>5103</v>
      </c>
      <c r="AI376" s="20">
        <v>85</v>
      </c>
      <c r="AJ376" s="20" t="s">
        <v>4991</v>
      </c>
      <c r="AK376" s="115">
        <v>200000</v>
      </c>
      <c r="AL376" s="20">
        <v>1</v>
      </c>
      <c r="AM376" s="20">
        <f t="shared" si="100"/>
        <v>612</v>
      </c>
      <c r="AN376" s="20">
        <f t="shared" si="101"/>
        <v>122400000</v>
      </c>
      <c r="AO376" s="20"/>
    </row>
    <row r="377" spans="18:46">
      <c r="R377" s="97" t="s">
        <v>5102</v>
      </c>
      <c r="S377" s="93">
        <v>92847</v>
      </c>
      <c r="U377" s="19" t="s">
        <v>5597</v>
      </c>
      <c r="V377" s="19">
        <v>16629</v>
      </c>
      <c r="W377" s="115">
        <v>2367.7887540000002</v>
      </c>
      <c r="X377" s="115">
        <f t="shared" si="99"/>
        <v>39373959.190266006</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5106</v>
      </c>
      <c r="S378" s="93">
        <v>-100000</v>
      </c>
      <c r="U378" s="19" t="s">
        <v>5602</v>
      </c>
      <c r="V378" s="19">
        <v>11765</v>
      </c>
      <c r="W378" s="115">
        <v>2354.7375320000001</v>
      </c>
      <c r="X378" s="115">
        <f t="shared" si="99"/>
        <v>27703487.063980002</v>
      </c>
      <c r="Y378" s="261" t="s">
        <v>5103</v>
      </c>
      <c r="AI378" s="20">
        <v>87</v>
      </c>
      <c r="AJ378" s="20" t="s">
        <v>4997</v>
      </c>
      <c r="AK378" s="115">
        <v>500000</v>
      </c>
      <c r="AL378" s="20">
        <v>3</v>
      </c>
      <c r="AM378" s="20">
        <f t="shared" si="102"/>
        <v>609</v>
      </c>
      <c r="AN378" s="20">
        <f t="shared" si="103"/>
        <v>304500000</v>
      </c>
      <c r="AO378" s="20"/>
    </row>
    <row r="379" spans="18:46">
      <c r="R379" s="97" t="s">
        <v>5111</v>
      </c>
      <c r="S379" s="93">
        <v>10000000</v>
      </c>
      <c r="U379" s="19" t="s">
        <v>5603</v>
      </c>
      <c r="V379" s="19">
        <v>3672</v>
      </c>
      <c r="W379" s="115">
        <v>2379.873826</v>
      </c>
      <c r="X379" s="115">
        <f t="shared" si="99"/>
        <v>8738896.6890719999</v>
      </c>
      <c r="Y379" s="261" t="s">
        <v>5103</v>
      </c>
      <c r="AA379" t="s">
        <v>25</v>
      </c>
      <c r="AI379" s="20">
        <v>88</v>
      </c>
      <c r="AJ379" s="20" t="s">
        <v>4988</v>
      </c>
      <c r="AK379" s="115">
        <v>250000</v>
      </c>
      <c r="AL379" s="20">
        <v>0</v>
      </c>
      <c r="AM379" s="20">
        <f t="shared" si="102"/>
        <v>606</v>
      </c>
      <c r="AN379" s="20">
        <f t="shared" si="103"/>
        <v>151500000</v>
      </c>
      <c r="AO379" s="20"/>
    </row>
    <row r="380" spans="18:46">
      <c r="R380" s="97" t="s">
        <v>5115</v>
      </c>
      <c r="S380" s="93">
        <v>-400000</v>
      </c>
      <c r="U380" s="19" t="s">
        <v>4182</v>
      </c>
      <c r="V380" s="19">
        <v>140</v>
      </c>
      <c r="W380" s="115">
        <v>2487.154767</v>
      </c>
      <c r="X380" s="115">
        <f t="shared" si="99"/>
        <v>348201.66738</v>
      </c>
      <c r="Y380" s="261" t="s">
        <v>5103</v>
      </c>
      <c r="AI380" s="240">
        <v>89</v>
      </c>
      <c r="AJ380" s="240" t="s">
        <v>4988</v>
      </c>
      <c r="AK380" s="231">
        <v>245000</v>
      </c>
      <c r="AL380" s="240">
        <v>16</v>
      </c>
      <c r="AM380" s="240">
        <f t="shared" si="102"/>
        <v>606</v>
      </c>
      <c r="AN380" s="240">
        <f t="shared" si="103"/>
        <v>148470000</v>
      </c>
      <c r="AO380" s="240"/>
    </row>
    <row r="381" spans="18:46">
      <c r="R381" s="97" t="s">
        <v>5117</v>
      </c>
      <c r="S381" s="93">
        <v>5649</v>
      </c>
      <c r="U381" s="19" t="s">
        <v>5605</v>
      </c>
      <c r="V381" s="19">
        <v>1616</v>
      </c>
      <c r="W381" s="115">
        <v>2573.0760479999999</v>
      </c>
      <c r="X381" s="115">
        <f t="shared" si="99"/>
        <v>4158090.8935679998</v>
      </c>
      <c r="Y381" s="261" t="s">
        <v>5103</v>
      </c>
      <c r="AI381" s="20">
        <v>90</v>
      </c>
      <c r="AJ381" s="20" t="s">
        <v>5022</v>
      </c>
      <c r="AK381" s="115">
        <v>312598</v>
      </c>
      <c r="AL381" s="20">
        <v>0</v>
      </c>
      <c r="AM381" s="20">
        <f t="shared" si="102"/>
        <v>590</v>
      </c>
      <c r="AN381" s="20">
        <f t="shared" si="103"/>
        <v>184432820</v>
      </c>
      <c r="AO381" s="20"/>
      <c r="AQ381" t="s">
        <v>25</v>
      </c>
    </row>
    <row r="382" spans="18:46">
      <c r="R382" s="97" t="s">
        <v>5118</v>
      </c>
      <c r="S382" s="93">
        <v>460000</v>
      </c>
      <c r="U382" s="187" t="s">
        <v>5606</v>
      </c>
      <c r="V382" s="187">
        <v>5682</v>
      </c>
      <c r="W382" s="186">
        <v>2639.970566</v>
      </c>
      <c r="X382" s="186">
        <f t="shared" si="99"/>
        <v>15000312.756012</v>
      </c>
      <c r="Y382" s="260" t="s">
        <v>5827</v>
      </c>
      <c r="AI382" s="20">
        <v>91</v>
      </c>
      <c r="AJ382" s="20" t="s">
        <v>5022</v>
      </c>
      <c r="AK382" s="115">
        <v>780000</v>
      </c>
      <c r="AL382" s="20">
        <v>0</v>
      </c>
      <c r="AM382" s="20">
        <f t="shared" si="102"/>
        <v>590</v>
      </c>
      <c r="AN382" s="20">
        <f t="shared" si="103"/>
        <v>460200000</v>
      </c>
      <c r="AO382" s="20"/>
    </row>
    <row r="383" spans="18:46" ht="30">
      <c r="R383" s="97" t="s">
        <v>5118</v>
      </c>
      <c r="S383" s="93">
        <v>1300000</v>
      </c>
      <c r="U383" s="187" t="s">
        <v>5606</v>
      </c>
      <c r="V383" s="187">
        <v>-122</v>
      </c>
      <c r="W383" s="186">
        <v>2639.970566</v>
      </c>
      <c r="X383" s="186">
        <f t="shared" si="99"/>
        <v>-322076.40905199997</v>
      </c>
      <c r="Y383" s="260" t="s">
        <v>5863</v>
      </c>
      <c r="Z383" t="s">
        <v>25</v>
      </c>
      <c r="AI383" s="192">
        <v>92</v>
      </c>
      <c r="AJ383" s="192" t="s">
        <v>5022</v>
      </c>
      <c r="AK383" s="193">
        <v>-300000</v>
      </c>
      <c r="AL383" s="192">
        <v>1</v>
      </c>
      <c r="AM383" s="192">
        <f t="shared" si="102"/>
        <v>590</v>
      </c>
      <c r="AN383" s="192">
        <f t="shared" si="103"/>
        <v>-177000000</v>
      </c>
      <c r="AO383" s="192"/>
    </row>
    <row r="384" spans="18:46">
      <c r="R384" s="97" t="s">
        <v>975</v>
      </c>
      <c r="S384" s="93">
        <v>7300000</v>
      </c>
      <c r="U384" s="19" t="s">
        <v>5606</v>
      </c>
      <c r="V384" s="19">
        <v>2272</v>
      </c>
      <c r="W384" s="115">
        <v>2639.970566</v>
      </c>
      <c r="X384" s="115">
        <f t="shared" si="99"/>
        <v>5998013.1259519998</v>
      </c>
      <c r="Y384" s="261" t="s">
        <v>5615</v>
      </c>
      <c r="AI384" s="20">
        <v>93</v>
      </c>
      <c r="AJ384" s="20" t="s">
        <v>4989</v>
      </c>
      <c r="AK384" s="115">
        <v>300000</v>
      </c>
      <c r="AL384" s="20">
        <v>0</v>
      </c>
      <c r="AM384" s="20">
        <f t="shared" si="102"/>
        <v>589</v>
      </c>
      <c r="AN384" s="20">
        <f t="shared" si="103"/>
        <v>176700000</v>
      </c>
      <c r="AO384" s="20"/>
    </row>
    <row r="385" spans="16:46" ht="30">
      <c r="R385" s="97" t="s">
        <v>4253</v>
      </c>
      <c r="S385" s="93">
        <v>21203</v>
      </c>
      <c r="U385" s="19" t="s">
        <v>5606</v>
      </c>
      <c r="V385" s="19">
        <v>4434</v>
      </c>
      <c r="W385" s="115">
        <v>2639.970566</v>
      </c>
      <c r="X385" s="115">
        <f t="shared" si="99"/>
        <v>11705629.489644</v>
      </c>
      <c r="Y385" s="261" t="s">
        <v>5616</v>
      </c>
      <c r="AB385" t="s">
        <v>25</v>
      </c>
      <c r="AI385" s="20">
        <v>94</v>
      </c>
      <c r="AJ385" s="20" t="s">
        <v>4989</v>
      </c>
      <c r="AK385" s="115">
        <v>8660000</v>
      </c>
      <c r="AL385" s="20">
        <v>8</v>
      </c>
      <c r="AM385" s="20">
        <f t="shared" si="102"/>
        <v>589</v>
      </c>
      <c r="AN385" s="20">
        <f t="shared" si="103"/>
        <v>5100740000</v>
      </c>
      <c r="AO385" s="20"/>
    </row>
    <row r="386" spans="16:46">
      <c r="R386" s="97" t="s">
        <v>5116</v>
      </c>
      <c r="S386" s="93">
        <v>34550</v>
      </c>
      <c r="U386" s="19" t="s">
        <v>5606</v>
      </c>
      <c r="V386" s="19">
        <v>2349</v>
      </c>
      <c r="W386" s="115">
        <v>2639.970566</v>
      </c>
      <c r="X386" s="115">
        <f t="shared" si="99"/>
        <v>6201290.859534</v>
      </c>
      <c r="Y386" s="261" t="s">
        <v>5617</v>
      </c>
      <c r="AI386" s="147">
        <v>95</v>
      </c>
      <c r="AJ386" s="147" t="s">
        <v>5039</v>
      </c>
      <c r="AK386" s="186">
        <v>200000</v>
      </c>
      <c r="AL386" s="147">
        <v>3</v>
      </c>
      <c r="AM386" s="147">
        <f t="shared" si="102"/>
        <v>581</v>
      </c>
      <c r="AN386" s="147">
        <f t="shared" si="103"/>
        <v>116200000</v>
      </c>
      <c r="AO386" s="147"/>
      <c r="AR386" t="s">
        <v>25</v>
      </c>
    </row>
    <row r="387" spans="16:46" ht="30">
      <c r="R387" s="97" t="s">
        <v>5153</v>
      </c>
      <c r="S387" s="93">
        <v>-2134406</v>
      </c>
      <c r="U387" s="19" t="s">
        <v>5606</v>
      </c>
      <c r="V387" s="19">
        <v>-568</v>
      </c>
      <c r="W387" s="115">
        <v>2639.970566</v>
      </c>
      <c r="X387" s="115">
        <f t="shared" si="99"/>
        <v>-1499503.2814879999</v>
      </c>
      <c r="Y387" s="261" t="s">
        <v>5618</v>
      </c>
      <c r="Z387" t="s">
        <v>25</v>
      </c>
      <c r="AG387" s="94" t="s">
        <v>25</v>
      </c>
      <c r="AI387" s="147">
        <v>96</v>
      </c>
      <c r="AJ387" s="147" t="s">
        <v>5042</v>
      </c>
      <c r="AK387" s="186">
        <v>20000</v>
      </c>
      <c r="AL387" s="147">
        <v>1</v>
      </c>
      <c r="AM387" s="147">
        <f t="shared" si="102"/>
        <v>578</v>
      </c>
      <c r="AN387" s="147">
        <f t="shared" si="103"/>
        <v>11560000</v>
      </c>
      <c r="AO387" s="147"/>
    </row>
    <row r="388" spans="16:46" ht="30">
      <c r="R388" s="97" t="s">
        <v>5156</v>
      </c>
      <c r="S388" s="93">
        <v>-618906</v>
      </c>
      <c r="U388" s="19" t="s">
        <v>5606</v>
      </c>
      <c r="V388" s="19">
        <v>568</v>
      </c>
      <c r="W388" s="115">
        <v>2639.970566</v>
      </c>
      <c r="X388" s="115">
        <f t="shared" si="99"/>
        <v>1499503.2814879999</v>
      </c>
      <c r="Y388" s="261" t="s">
        <v>5618</v>
      </c>
      <c r="AI388" s="20">
        <v>97</v>
      </c>
      <c r="AJ388" s="20" t="s">
        <v>5052</v>
      </c>
      <c r="AK388" s="115">
        <v>14340000</v>
      </c>
      <c r="AL388" s="20">
        <v>7</v>
      </c>
      <c r="AM388" s="20">
        <f t="shared" si="102"/>
        <v>577</v>
      </c>
      <c r="AN388" s="20">
        <f t="shared" si="103"/>
        <v>8274180000</v>
      </c>
      <c r="AO388" s="20"/>
      <c r="AT388" t="s">
        <v>25</v>
      </c>
    </row>
    <row r="389" spans="16:46">
      <c r="R389" s="97" t="s">
        <v>5198</v>
      </c>
      <c r="S389" s="93">
        <v>-54615</v>
      </c>
      <c r="U389" s="19" t="s">
        <v>5609</v>
      </c>
      <c r="V389" s="19">
        <v>4589</v>
      </c>
      <c r="W389" s="115">
        <v>2639.970566</v>
      </c>
      <c r="X389" s="115">
        <f t="shared" si="99"/>
        <v>12114824.927374</v>
      </c>
      <c r="Y389" s="261" t="s">
        <v>5619</v>
      </c>
      <c r="Z389" t="s">
        <v>25</v>
      </c>
      <c r="AI389" s="20">
        <v>98</v>
      </c>
      <c r="AJ389" s="20" t="s">
        <v>5058</v>
      </c>
      <c r="AK389" s="115">
        <v>10000000</v>
      </c>
      <c r="AL389" s="20">
        <v>6</v>
      </c>
      <c r="AM389" s="20">
        <f t="shared" si="102"/>
        <v>570</v>
      </c>
      <c r="AN389" s="20">
        <f t="shared" si="103"/>
        <v>5700000000</v>
      </c>
      <c r="AO389" s="20" t="s">
        <v>4673</v>
      </c>
    </row>
    <row r="390" spans="16:46">
      <c r="P390" t="s">
        <v>25</v>
      </c>
      <c r="R390" s="97" t="s">
        <v>5243</v>
      </c>
      <c r="S390" s="93">
        <v>18000000</v>
      </c>
      <c r="U390" s="19" t="s">
        <v>5609</v>
      </c>
      <c r="V390" s="19">
        <v>41959</v>
      </c>
      <c r="W390" s="115">
        <v>2639.970566</v>
      </c>
      <c r="X390" s="115">
        <f t="shared" ref="X390:X528" si="104">V390*W390</f>
        <v>110770524.97879399</v>
      </c>
      <c r="Y390" s="261" t="s">
        <v>5103</v>
      </c>
      <c r="AI390" s="20">
        <v>99</v>
      </c>
      <c r="AJ390" s="20" t="s">
        <v>5063</v>
      </c>
      <c r="AK390" s="115">
        <v>4033949</v>
      </c>
      <c r="AL390" s="20">
        <v>2</v>
      </c>
      <c r="AM390" s="20">
        <f t="shared" si="102"/>
        <v>564</v>
      </c>
      <c r="AN390" s="20">
        <f t="shared" si="103"/>
        <v>2275147236</v>
      </c>
      <c r="AO390" s="20" t="s">
        <v>5065</v>
      </c>
    </row>
    <row r="391" spans="16:46">
      <c r="R391" s="97" t="s">
        <v>5250</v>
      </c>
      <c r="S391" s="93">
        <v>20000000</v>
      </c>
      <c r="U391" s="19" t="s">
        <v>5621</v>
      </c>
      <c r="V391" s="19">
        <v>2486</v>
      </c>
      <c r="W391" s="115">
        <v>2688.7156100000002</v>
      </c>
      <c r="X391" s="115">
        <f t="shared" si="104"/>
        <v>6684147.0064600008</v>
      </c>
      <c r="Y391" s="261" t="s">
        <v>5103</v>
      </c>
      <c r="AI391" s="147">
        <v>100</v>
      </c>
      <c r="AJ391" s="147" t="s">
        <v>5069</v>
      </c>
      <c r="AK391" s="186">
        <v>11500000</v>
      </c>
      <c r="AL391" s="147">
        <v>2</v>
      </c>
      <c r="AM391" s="147">
        <f t="shared" si="102"/>
        <v>562</v>
      </c>
      <c r="AN391" s="147">
        <f t="shared" si="103"/>
        <v>6463000000</v>
      </c>
      <c r="AO391" s="147" t="s">
        <v>5071</v>
      </c>
    </row>
    <row r="392" spans="16:46">
      <c r="R392" s="97" t="s">
        <v>5325</v>
      </c>
      <c r="S392" s="93">
        <v>27694196</v>
      </c>
      <c r="U392" s="19" t="s">
        <v>5624</v>
      </c>
      <c r="V392" s="19">
        <v>652</v>
      </c>
      <c r="W392" s="115">
        <v>2801.4344030000002</v>
      </c>
      <c r="X392" s="115">
        <f t="shared" si="104"/>
        <v>1826535.2307560001</v>
      </c>
      <c r="Y392" s="261" t="s">
        <v>5103</v>
      </c>
      <c r="AI392" s="147">
        <v>101</v>
      </c>
      <c r="AJ392" s="147" t="s">
        <v>5073</v>
      </c>
      <c r="AK392" s="186">
        <v>250000</v>
      </c>
      <c r="AL392" s="147">
        <v>3</v>
      </c>
      <c r="AM392" s="147">
        <f t="shared" si="102"/>
        <v>560</v>
      </c>
      <c r="AN392" s="147">
        <f t="shared" si="103"/>
        <v>140000000</v>
      </c>
      <c r="AO392" s="147"/>
    </row>
    <row r="393" spans="16:46">
      <c r="R393" s="97" t="s">
        <v>5326</v>
      </c>
      <c r="S393" s="93">
        <v>7211722</v>
      </c>
      <c r="T393" t="s">
        <v>25</v>
      </c>
      <c r="U393" s="187" t="s">
        <v>5624</v>
      </c>
      <c r="V393" s="187">
        <v>-536</v>
      </c>
      <c r="W393" s="186">
        <v>2801.4344030000002</v>
      </c>
      <c r="X393" s="186">
        <f t="shared" si="104"/>
        <v>-1501568.8400080001</v>
      </c>
      <c r="Y393" s="260" t="s">
        <v>5636</v>
      </c>
      <c r="AI393" s="147">
        <v>102</v>
      </c>
      <c r="AJ393" s="147" t="s">
        <v>5098</v>
      </c>
      <c r="AK393" s="186">
        <v>6000000</v>
      </c>
      <c r="AL393" s="147">
        <v>1</v>
      </c>
      <c r="AM393" s="147">
        <f t="shared" si="102"/>
        <v>557</v>
      </c>
      <c r="AN393" s="147">
        <f t="shared" si="103"/>
        <v>3342000000</v>
      </c>
      <c r="AO393" s="147" t="s">
        <v>5071</v>
      </c>
      <c r="AS393" t="s">
        <v>25</v>
      </c>
    </row>
    <row r="394" spans="16:46">
      <c r="R394" s="97" t="s">
        <v>5330</v>
      </c>
      <c r="S394" s="93">
        <v>8481864</v>
      </c>
      <c r="U394" s="19" t="s">
        <v>5628</v>
      </c>
      <c r="V394" s="19">
        <v>1351</v>
      </c>
      <c r="W394" s="115">
        <v>2647.94</v>
      </c>
      <c r="X394" s="115">
        <f t="shared" si="104"/>
        <v>3577366.94</v>
      </c>
      <c r="Y394" s="261" t="s">
        <v>5103</v>
      </c>
      <c r="AI394" s="147">
        <v>103</v>
      </c>
      <c r="AJ394" s="147" t="s">
        <v>5099</v>
      </c>
      <c r="AK394" s="186">
        <v>1500000</v>
      </c>
      <c r="AL394" s="147">
        <v>6</v>
      </c>
      <c r="AM394" s="147">
        <f t="shared" si="102"/>
        <v>556</v>
      </c>
      <c r="AN394" s="147">
        <f t="shared" si="103"/>
        <v>834000000</v>
      </c>
      <c r="AO394" s="147" t="s">
        <v>5071</v>
      </c>
    </row>
    <row r="395" spans="16:46">
      <c r="R395" s="97" t="s">
        <v>5334</v>
      </c>
      <c r="S395" s="93">
        <v>1558697</v>
      </c>
      <c r="U395" s="19" t="s">
        <v>5630</v>
      </c>
      <c r="V395" s="19">
        <v>8402</v>
      </c>
      <c r="W395" s="115">
        <v>2527.8539839999999</v>
      </c>
      <c r="X395" s="115">
        <f t="shared" si="104"/>
        <v>21239029.173567999</v>
      </c>
      <c r="Y395" s="261" t="s">
        <v>5103</v>
      </c>
      <c r="AI395" s="20">
        <v>104</v>
      </c>
      <c r="AJ395" s="20" t="s">
        <v>958</v>
      </c>
      <c r="AK395" s="115">
        <v>-3960043</v>
      </c>
      <c r="AL395" s="20">
        <v>2</v>
      </c>
      <c r="AM395" s="20">
        <f t="shared" si="102"/>
        <v>550</v>
      </c>
      <c r="AN395" s="20">
        <f t="shared" si="103"/>
        <v>-2178023650</v>
      </c>
      <c r="AO395" s="20"/>
    </row>
    <row r="396" spans="16:46">
      <c r="R396" s="97" t="s">
        <v>5335</v>
      </c>
      <c r="S396" s="93">
        <v>9042009</v>
      </c>
      <c r="U396" s="19" t="s">
        <v>5633</v>
      </c>
      <c r="V396" s="19">
        <v>98141</v>
      </c>
      <c r="W396" s="115">
        <v>2475.593813</v>
      </c>
      <c r="X396" s="115">
        <f t="shared" si="104"/>
        <v>242957252.40163299</v>
      </c>
      <c r="Y396" s="261" t="s">
        <v>5103</v>
      </c>
      <c r="AI396" s="20">
        <v>105</v>
      </c>
      <c r="AJ396" s="20" t="s">
        <v>5117</v>
      </c>
      <c r="AK396" s="115">
        <v>230000</v>
      </c>
      <c r="AL396" s="20">
        <v>0</v>
      </c>
      <c r="AM396" s="20">
        <f t="shared" si="102"/>
        <v>548</v>
      </c>
      <c r="AN396" s="20">
        <f t="shared" si="103"/>
        <v>126040000</v>
      </c>
      <c r="AO396" s="20"/>
    </row>
    <row r="397" spans="16:46">
      <c r="R397" s="97" t="s">
        <v>5339</v>
      </c>
      <c r="S397" s="93">
        <v>94969</v>
      </c>
      <c r="U397" s="19" t="s">
        <v>5637</v>
      </c>
      <c r="V397" s="19">
        <v>2910</v>
      </c>
      <c r="W397" s="115">
        <v>2528.240988</v>
      </c>
      <c r="X397" s="115">
        <f t="shared" si="104"/>
        <v>7357181.2750800001</v>
      </c>
      <c r="Y397" s="261" t="s">
        <v>5103</v>
      </c>
      <c r="AA397" t="s">
        <v>25</v>
      </c>
      <c r="AI397" s="147">
        <v>106</v>
      </c>
      <c r="AJ397" s="147" t="s">
        <v>5117</v>
      </c>
      <c r="AK397" s="186">
        <v>230000</v>
      </c>
      <c r="AL397" s="147">
        <v>1</v>
      </c>
      <c r="AM397" s="147">
        <f t="shared" si="102"/>
        <v>548</v>
      </c>
      <c r="AN397" s="147">
        <f t="shared" si="103"/>
        <v>126040000</v>
      </c>
      <c r="AO397" s="147"/>
    </row>
    <row r="398" spans="16:46" ht="21" customHeight="1">
      <c r="R398" s="97" t="s">
        <v>5339</v>
      </c>
      <c r="S398" s="93">
        <v>40000000</v>
      </c>
      <c r="U398" s="19" t="s">
        <v>5639</v>
      </c>
      <c r="V398" s="19">
        <v>5652</v>
      </c>
      <c r="W398" s="115">
        <v>2645.3312000000001</v>
      </c>
      <c r="X398" s="115">
        <f t="shared" si="104"/>
        <v>14951411.942400001</v>
      </c>
      <c r="Y398" s="261" t="s">
        <v>5103</v>
      </c>
      <c r="AI398" s="147">
        <v>107</v>
      </c>
      <c r="AJ398" s="147" t="s">
        <v>5118</v>
      </c>
      <c r="AK398" s="186">
        <v>500000</v>
      </c>
      <c r="AL398" s="147">
        <v>1</v>
      </c>
      <c r="AM398" s="147">
        <f t="shared" si="102"/>
        <v>547</v>
      </c>
      <c r="AN398" s="147">
        <f t="shared" si="103"/>
        <v>273500000</v>
      </c>
      <c r="AO398" s="147"/>
    </row>
    <row r="399" spans="16:46">
      <c r="R399" s="97" t="s">
        <v>5340</v>
      </c>
      <c r="S399" s="93">
        <v>2806274</v>
      </c>
      <c r="U399" s="19" t="s">
        <v>5643</v>
      </c>
      <c r="V399" s="19">
        <v>18764</v>
      </c>
      <c r="W399" s="115">
        <v>2554.2639829999998</v>
      </c>
      <c r="X399" s="115">
        <f t="shared" si="104"/>
        <v>47928209.377011999</v>
      </c>
      <c r="Y399" s="261" t="s">
        <v>5103</v>
      </c>
      <c r="AI399" s="20">
        <v>108</v>
      </c>
      <c r="AJ399" s="20" t="s">
        <v>5121</v>
      </c>
      <c r="AK399" s="115">
        <v>-880000</v>
      </c>
      <c r="AL399" s="20">
        <v>4</v>
      </c>
      <c r="AM399" s="20">
        <f t="shared" si="102"/>
        <v>546</v>
      </c>
      <c r="AN399" s="20">
        <f t="shared" si="103"/>
        <v>-480480000</v>
      </c>
      <c r="AO399" s="20"/>
    </row>
    <row r="400" spans="16:46" ht="18" customHeight="1">
      <c r="R400" s="97" t="s">
        <v>5348</v>
      </c>
      <c r="S400" s="93">
        <v>1331702</v>
      </c>
      <c r="U400" s="19" t="s">
        <v>5645</v>
      </c>
      <c r="V400" s="19">
        <v>930</v>
      </c>
      <c r="W400" s="115">
        <v>2453.3287089999999</v>
      </c>
      <c r="X400" s="115">
        <f t="shared" si="104"/>
        <v>2281595.69937</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5382</v>
      </c>
      <c r="S401" s="93">
        <v>851238</v>
      </c>
      <c r="U401" s="19" t="s">
        <v>5647</v>
      </c>
      <c r="V401" s="19">
        <v>1167</v>
      </c>
      <c r="W401" s="115">
        <v>2540.6307069999998</v>
      </c>
      <c r="X401" s="115">
        <f t="shared" si="104"/>
        <v>2964916.035069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5426</v>
      </c>
      <c r="S402" s="93">
        <v>652592</v>
      </c>
      <c r="U402" s="19" t="s">
        <v>5648</v>
      </c>
      <c r="V402" s="19">
        <v>2538</v>
      </c>
      <c r="W402" s="115">
        <v>2545.5277489999999</v>
      </c>
      <c r="X402" s="115">
        <f t="shared" si="104"/>
        <v>6460549.4269619994</v>
      </c>
      <c r="Y402" s="261" t="s">
        <v>5103</v>
      </c>
      <c r="AA402" t="s">
        <v>25</v>
      </c>
      <c r="AB402" t="s">
        <v>25</v>
      </c>
      <c r="AI402" s="20">
        <v>111</v>
      </c>
      <c r="AJ402" s="20" t="s">
        <v>5125</v>
      </c>
      <c r="AK402" s="115">
        <v>73000</v>
      </c>
      <c r="AL402" s="20">
        <v>1</v>
      </c>
      <c r="AM402" s="20">
        <f t="shared" si="102"/>
        <v>542</v>
      </c>
      <c r="AN402" s="20">
        <f t="shared" si="103"/>
        <v>39566000</v>
      </c>
      <c r="AO402" s="20"/>
      <c r="AT402" t="s">
        <v>25</v>
      </c>
    </row>
    <row r="403" spans="18:46">
      <c r="R403" s="97" t="s">
        <v>5427</v>
      </c>
      <c r="S403" s="93">
        <v>554139</v>
      </c>
      <c r="U403" s="19" t="s">
        <v>5650</v>
      </c>
      <c r="V403" s="19">
        <v>2106</v>
      </c>
      <c r="W403" s="115">
        <v>2474.9857059999999</v>
      </c>
      <c r="X403" s="115">
        <f t="shared" si="104"/>
        <v>5212319.8968359996</v>
      </c>
      <c r="Y403" s="261" t="s">
        <v>5103</v>
      </c>
      <c r="AB403" t="s">
        <v>25</v>
      </c>
      <c r="AI403" s="20">
        <v>112</v>
      </c>
      <c r="AJ403" s="20" t="s">
        <v>975</v>
      </c>
      <c r="AK403" s="115">
        <v>4300000</v>
      </c>
      <c r="AL403" s="20">
        <v>1</v>
      </c>
      <c r="AM403" s="20">
        <f t="shared" si="102"/>
        <v>541</v>
      </c>
      <c r="AN403" s="20">
        <f t="shared" si="103"/>
        <v>2326300000</v>
      </c>
      <c r="AO403" s="20"/>
    </row>
    <row r="404" spans="18:46">
      <c r="R404" s="97" t="s">
        <v>5428</v>
      </c>
      <c r="S404" s="93">
        <v>70373089</v>
      </c>
      <c r="U404" s="19" t="s">
        <v>5653</v>
      </c>
      <c r="V404" s="19">
        <v>1801</v>
      </c>
      <c r="W404" s="115">
        <v>2512.2134809999998</v>
      </c>
      <c r="X404" s="115">
        <f t="shared" si="104"/>
        <v>4524496.4792809999</v>
      </c>
      <c r="Y404" s="261" t="s">
        <v>5103</v>
      </c>
      <c r="AI404" s="20">
        <v>113</v>
      </c>
      <c r="AJ404" s="20" t="s">
        <v>5001</v>
      </c>
      <c r="AK404" s="115">
        <v>1600000</v>
      </c>
      <c r="AL404" s="20">
        <v>0</v>
      </c>
      <c r="AM404" s="20">
        <f t="shared" si="102"/>
        <v>540</v>
      </c>
      <c r="AN404" s="20">
        <f t="shared" si="103"/>
        <v>864000000</v>
      </c>
      <c r="AO404" s="20"/>
    </row>
    <row r="405" spans="18:46">
      <c r="R405" s="97" t="s">
        <v>5429</v>
      </c>
      <c r="S405" s="93">
        <v>1219655</v>
      </c>
      <c r="U405" s="19" t="s">
        <v>5655</v>
      </c>
      <c r="V405" s="19">
        <v>9184</v>
      </c>
      <c r="W405" s="115">
        <v>2489.76919</v>
      </c>
      <c r="X405" s="115">
        <f t="shared" si="104"/>
        <v>22866040.240959998</v>
      </c>
      <c r="Y405" s="261" t="s">
        <v>5103</v>
      </c>
      <c r="AI405" s="20">
        <v>114</v>
      </c>
      <c r="AJ405" s="20" t="s">
        <v>4253</v>
      </c>
      <c r="AK405" s="115">
        <v>-10000000</v>
      </c>
      <c r="AL405" s="20">
        <v>1</v>
      </c>
      <c r="AM405" s="20">
        <f t="shared" si="102"/>
        <v>540</v>
      </c>
      <c r="AN405" s="20">
        <f t="shared" si="103"/>
        <v>-5400000000</v>
      </c>
      <c r="AO405" s="20" t="s">
        <v>5131</v>
      </c>
    </row>
    <row r="406" spans="18:46">
      <c r="R406" s="97" t="s">
        <v>5430</v>
      </c>
      <c r="S406" s="93">
        <v>15350146</v>
      </c>
      <c r="U406" s="19" t="s">
        <v>5657</v>
      </c>
      <c r="V406" s="19">
        <v>6259</v>
      </c>
      <c r="W406" s="115">
        <v>2453.954988</v>
      </c>
      <c r="X406" s="115">
        <f t="shared" si="104"/>
        <v>15359304.269892</v>
      </c>
      <c r="Y406" s="261" t="s">
        <v>5103</v>
      </c>
      <c r="Z406" t="s">
        <v>25</v>
      </c>
      <c r="AI406" s="20">
        <v>115</v>
      </c>
      <c r="AJ406" s="20" t="s">
        <v>5130</v>
      </c>
      <c r="AK406" s="115">
        <v>571000</v>
      </c>
      <c r="AL406" s="20">
        <v>4</v>
      </c>
      <c r="AM406" s="20">
        <f t="shared" si="102"/>
        <v>539</v>
      </c>
      <c r="AN406" s="20">
        <f t="shared" si="103"/>
        <v>307769000</v>
      </c>
      <c r="AO406" s="20"/>
    </row>
    <row r="407" spans="18:46">
      <c r="R407" s="97" t="s">
        <v>5434</v>
      </c>
      <c r="S407" s="93">
        <v>121018</v>
      </c>
      <c r="U407" s="19" t="s">
        <v>5659</v>
      </c>
      <c r="V407" s="19">
        <v>1223</v>
      </c>
      <c r="W407" s="115">
        <v>2345.4686710000001</v>
      </c>
      <c r="X407" s="115">
        <f t="shared" si="104"/>
        <v>2868508.1846330003</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5446</v>
      </c>
      <c r="S408" s="93">
        <v>1024993</v>
      </c>
      <c r="U408" s="19" t="s">
        <v>5660</v>
      </c>
      <c r="V408" s="19">
        <v>7804</v>
      </c>
      <c r="W408" s="115">
        <v>2236.0831640000001</v>
      </c>
      <c r="X408" s="115">
        <f t="shared" si="104"/>
        <v>17450393.011856001</v>
      </c>
      <c r="Y408" s="261" t="s">
        <v>5103</v>
      </c>
      <c r="AI408" s="147">
        <v>117</v>
      </c>
      <c r="AJ408" s="147" t="s">
        <v>5138</v>
      </c>
      <c r="AK408" s="186">
        <v>50000</v>
      </c>
      <c r="AL408" s="147">
        <v>7</v>
      </c>
      <c r="AM408" s="147">
        <f t="shared" si="105"/>
        <v>532</v>
      </c>
      <c r="AN408" s="147">
        <f t="shared" si="106"/>
        <v>26600000</v>
      </c>
      <c r="AO408" s="147"/>
    </row>
    <row r="409" spans="18:46">
      <c r="R409" s="97" t="s">
        <v>5447</v>
      </c>
      <c r="S409" s="93">
        <v>1948077</v>
      </c>
      <c r="U409" s="19" t="s">
        <v>5661</v>
      </c>
      <c r="V409" s="19">
        <v>14589</v>
      </c>
      <c r="W409" s="115">
        <v>2151.5486500000002</v>
      </c>
      <c r="X409" s="115">
        <f t="shared" si="104"/>
        <v>31388943.254850004</v>
      </c>
      <c r="Y409" s="261" t="s">
        <v>5103</v>
      </c>
      <c r="AI409" s="20">
        <v>118</v>
      </c>
      <c r="AJ409" s="20" t="s">
        <v>5146</v>
      </c>
      <c r="AK409" s="115">
        <v>-500000</v>
      </c>
      <c r="AL409" s="20">
        <v>12</v>
      </c>
      <c r="AM409" s="20">
        <f t="shared" si="105"/>
        <v>525</v>
      </c>
      <c r="AN409" s="20">
        <f t="shared" si="106"/>
        <v>-262500000</v>
      </c>
      <c r="AO409" s="20"/>
    </row>
    <row r="410" spans="18:46">
      <c r="R410" s="97" t="s">
        <v>5448</v>
      </c>
      <c r="S410" s="93">
        <v>50000120</v>
      </c>
      <c r="U410" s="19" t="s">
        <v>5662</v>
      </c>
      <c r="V410" s="19">
        <v>14741</v>
      </c>
      <c r="W410" s="115">
        <v>2097.0148140000001</v>
      </c>
      <c r="X410" s="115">
        <f t="shared" si="104"/>
        <v>30912095.373174001</v>
      </c>
      <c r="Y410" s="261" t="s">
        <v>5103</v>
      </c>
      <c r="Z410" t="s">
        <v>25</v>
      </c>
      <c r="AI410" s="147">
        <v>119</v>
      </c>
      <c r="AJ410" s="147" t="s">
        <v>974</v>
      </c>
      <c r="AK410" s="186">
        <v>-50000</v>
      </c>
      <c r="AL410" s="147">
        <v>0</v>
      </c>
      <c r="AM410" s="147">
        <f t="shared" si="105"/>
        <v>513</v>
      </c>
      <c r="AN410" s="147">
        <f t="shared" si="106"/>
        <v>-25650000</v>
      </c>
      <c r="AO410" s="147"/>
    </row>
    <row r="411" spans="18:46">
      <c r="R411" s="97" t="s">
        <v>5471</v>
      </c>
      <c r="S411" s="93">
        <v>20000055</v>
      </c>
      <c r="U411" s="19" t="s">
        <v>5664</v>
      </c>
      <c r="V411" s="19">
        <v>10237</v>
      </c>
      <c r="W411" s="115">
        <v>1914.9092619999999</v>
      </c>
      <c r="X411" s="115">
        <f t="shared" si="104"/>
        <v>19602926.115093999</v>
      </c>
      <c r="Y411" s="261" t="s">
        <v>5103</v>
      </c>
      <c r="AA411" t="s">
        <v>25</v>
      </c>
      <c r="AI411" s="20">
        <v>120</v>
      </c>
      <c r="AJ411" s="20" t="s">
        <v>974</v>
      </c>
      <c r="AK411" s="115">
        <v>-50000</v>
      </c>
      <c r="AL411" s="20">
        <v>28</v>
      </c>
      <c r="AM411" s="20">
        <f t="shared" si="105"/>
        <v>513</v>
      </c>
      <c r="AN411" s="20">
        <f t="shared" si="106"/>
        <v>-25650000</v>
      </c>
      <c r="AO411" s="20"/>
    </row>
    <row r="412" spans="18:46">
      <c r="R412" s="97" t="s">
        <v>5472</v>
      </c>
      <c r="S412" s="93">
        <v>5745697</v>
      </c>
      <c r="U412" s="19" t="s">
        <v>5668</v>
      </c>
      <c r="V412" s="19">
        <v>19211</v>
      </c>
      <c r="W412" s="115">
        <v>1793.6906100000001</v>
      </c>
      <c r="X412" s="115">
        <f t="shared" si="104"/>
        <v>34458590.308710001</v>
      </c>
      <c r="Y412" s="261" t="s">
        <v>5103</v>
      </c>
      <c r="AA412" t="s">
        <v>25</v>
      </c>
      <c r="AI412" s="20">
        <v>121</v>
      </c>
      <c r="AJ412" s="20" t="s">
        <v>5187</v>
      </c>
      <c r="AK412" s="115">
        <v>-3020625</v>
      </c>
      <c r="AL412" s="20">
        <v>18</v>
      </c>
      <c r="AM412" s="20">
        <f t="shared" si="105"/>
        <v>485</v>
      </c>
      <c r="AN412" s="20">
        <f t="shared" si="106"/>
        <v>-1465003125</v>
      </c>
      <c r="AO412" s="20"/>
    </row>
    <row r="413" spans="18:46">
      <c r="R413" s="97" t="s">
        <v>5473</v>
      </c>
      <c r="S413" s="93">
        <v>908158</v>
      </c>
      <c r="U413" s="19" t="s">
        <v>5670</v>
      </c>
      <c r="V413" s="19">
        <v>11599</v>
      </c>
      <c r="W413" s="115">
        <v>1870.667144</v>
      </c>
      <c r="X413" s="115">
        <f t="shared" si="104"/>
        <v>21697868.203256</v>
      </c>
      <c r="Y413" s="261" t="s">
        <v>5103</v>
      </c>
      <c r="Z413" t="s">
        <v>25</v>
      </c>
      <c r="AI413" s="20">
        <v>122</v>
      </c>
      <c r="AJ413" s="20" t="s">
        <v>5198</v>
      </c>
      <c r="AK413" s="115">
        <v>18000000</v>
      </c>
      <c r="AL413" s="20">
        <v>19</v>
      </c>
      <c r="AM413" s="20">
        <f t="shared" si="105"/>
        <v>467</v>
      </c>
      <c r="AN413" s="20">
        <f t="shared" si="106"/>
        <v>8406000000</v>
      </c>
      <c r="AO413" s="20"/>
      <c r="AS413" t="s">
        <v>25</v>
      </c>
    </row>
    <row r="414" spans="18:46">
      <c r="R414" s="97" t="s">
        <v>5474</v>
      </c>
      <c r="S414" s="93">
        <v>12642697</v>
      </c>
      <c r="T414" t="s">
        <v>25</v>
      </c>
      <c r="U414" s="19" t="s">
        <v>5672</v>
      </c>
      <c r="V414" s="19">
        <v>14098</v>
      </c>
      <c r="W414" s="115">
        <v>1797.423695</v>
      </c>
      <c r="X414" s="115">
        <f t="shared" si="104"/>
        <v>25340079.252110001</v>
      </c>
      <c r="Y414" s="261" t="s">
        <v>5103</v>
      </c>
      <c r="AI414" s="20">
        <v>123</v>
      </c>
      <c r="AJ414" s="20" t="s">
        <v>5225</v>
      </c>
      <c r="AK414" s="115">
        <v>2000000</v>
      </c>
      <c r="AL414" s="20">
        <v>6</v>
      </c>
      <c r="AM414" s="20">
        <f t="shared" si="105"/>
        <v>448</v>
      </c>
      <c r="AN414" s="20">
        <f t="shared" si="106"/>
        <v>896000000</v>
      </c>
      <c r="AO414" s="20"/>
    </row>
    <row r="415" spans="18:46">
      <c r="R415" s="97" t="s">
        <v>5475</v>
      </c>
      <c r="S415" s="93">
        <v>12297317.81435</v>
      </c>
      <c r="U415" s="19" t="s">
        <v>5673</v>
      </c>
      <c r="V415" s="19">
        <v>8497</v>
      </c>
      <c r="W415" s="115">
        <v>1739.5531579999999</v>
      </c>
      <c r="X415" s="115">
        <f t="shared" si="104"/>
        <v>14780983.183526</v>
      </c>
      <c r="Y415" s="261" t="s">
        <v>5103</v>
      </c>
      <c r="AI415" s="147">
        <v>124</v>
      </c>
      <c r="AJ415" s="147" t="s">
        <v>5234</v>
      </c>
      <c r="AK415" s="186">
        <v>40000000</v>
      </c>
      <c r="AL415" s="147">
        <v>6</v>
      </c>
      <c r="AM415" s="147">
        <f t="shared" si="105"/>
        <v>442</v>
      </c>
      <c r="AN415" s="147">
        <f t="shared" si="106"/>
        <v>17680000000</v>
      </c>
      <c r="AO415" s="147"/>
      <c r="AT415" t="s">
        <v>25</v>
      </c>
    </row>
    <row r="416" spans="18:46" ht="30">
      <c r="R416" s="97" t="s">
        <v>5476</v>
      </c>
      <c r="S416" s="93">
        <v>8959643.8508579992</v>
      </c>
      <c r="U416" s="279" t="s">
        <v>5676</v>
      </c>
      <c r="V416" s="279">
        <v>163820</v>
      </c>
      <c r="W416" s="88">
        <v>1588.685326</v>
      </c>
      <c r="X416" s="88">
        <f t="shared" si="104"/>
        <v>260258430.10532001</v>
      </c>
      <c r="Y416" s="289" t="s">
        <v>5678</v>
      </c>
      <c r="AI416" s="20">
        <v>125</v>
      </c>
      <c r="AJ416" s="20" t="s">
        <v>5243</v>
      </c>
      <c r="AK416" s="115">
        <v>200000</v>
      </c>
      <c r="AL416" s="20">
        <v>0</v>
      </c>
      <c r="AM416" s="20">
        <f t="shared" si="105"/>
        <v>436</v>
      </c>
      <c r="AN416" s="20">
        <f t="shared" si="106"/>
        <v>87200000</v>
      </c>
      <c r="AO416" s="20"/>
    </row>
    <row r="417" spans="18:46">
      <c r="R417" s="97" t="s">
        <v>5491</v>
      </c>
      <c r="S417" s="93">
        <v>15154095.839328</v>
      </c>
      <c r="U417" s="19" t="s">
        <v>5676</v>
      </c>
      <c r="V417" s="19">
        <v>11207</v>
      </c>
      <c r="W417" s="115">
        <v>1588.685326</v>
      </c>
      <c r="X417" s="115">
        <f t="shared" si="104"/>
        <v>17804396.448481999</v>
      </c>
      <c r="Y417" s="261" t="s">
        <v>5103</v>
      </c>
      <c r="Z417" t="s">
        <v>25</v>
      </c>
      <c r="AA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5492</v>
      </c>
      <c r="S418" s="93">
        <v>50725508.571864001</v>
      </c>
      <c r="T418" t="s">
        <v>25</v>
      </c>
      <c r="U418" s="19" t="s">
        <v>5679</v>
      </c>
      <c r="V418" s="19">
        <v>7198</v>
      </c>
      <c r="W418" s="115">
        <v>1602.9918909999999</v>
      </c>
      <c r="X418" s="115">
        <f t="shared" si="104"/>
        <v>11538335.631417999</v>
      </c>
      <c r="Y418" s="261" t="s">
        <v>5103</v>
      </c>
      <c r="Z418" t="s">
        <v>25</v>
      </c>
      <c r="AI418" s="20">
        <v>127</v>
      </c>
      <c r="AJ418" s="20" t="s">
        <v>5246</v>
      </c>
      <c r="AK418" s="115">
        <v>50000</v>
      </c>
      <c r="AL418" s="20">
        <v>4</v>
      </c>
      <c r="AM418" s="20">
        <f t="shared" si="105"/>
        <v>435</v>
      </c>
      <c r="AN418" s="20">
        <f t="shared" si="106"/>
        <v>21750000</v>
      </c>
      <c r="AO418" s="20"/>
    </row>
    <row r="419" spans="18:46">
      <c r="R419" s="97" t="s">
        <v>5499</v>
      </c>
      <c r="S419" s="93">
        <v>2281961.458596</v>
      </c>
      <c r="U419" s="19" t="s">
        <v>5680</v>
      </c>
      <c r="V419" s="19">
        <v>7804</v>
      </c>
      <c r="W419" s="115">
        <v>1592.7111440000001</v>
      </c>
      <c r="X419" s="115">
        <f t="shared" si="104"/>
        <v>12429517.767776001</v>
      </c>
      <c r="Y419" s="261" t="s">
        <v>5103</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5500</v>
      </c>
      <c r="S420" s="93">
        <v>10998285</v>
      </c>
      <c r="U420" s="19" t="s">
        <v>5688</v>
      </c>
      <c r="V420" s="19">
        <v>2827</v>
      </c>
      <c r="W420" s="115">
        <v>1779.6874809999999</v>
      </c>
      <c r="X420" s="115">
        <f t="shared" si="104"/>
        <v>5031176.5087869996</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5502</v>
      </c>
      <c r="S421" s="93">
        <v>983018.96187300002</v>
      </c>
      <c r="U421" s="19" t="s">
        <v>5690</v>
      </c>
      <c r="V421" s="19">
        <v>3385</v>
      </c>
      <c r="W421" s="115">
        <v>2015.5993820000001</v>
      </c>
      <c r="X421" s="115">
        <f t="shared" si="104"/>
        <v>6822803.9080700008</v>
      </c>
      <c r="Y421" s="261" t="s">
        <v>5103</v>
      </c>
      <c r="Z421" t="s">
        <v>25</v>
      </c>
      <c r="AA421" t="s">
        <v>25</v>
      </c>
      <c r="AI421" s="20">
        <v>130</v>
      </c>
      <c r="AJ421" s="20" t="s">
        <v>5269</v>
      </c>
      <c r="AK421" s="115">
        <v>-29686490</v>
      </c>
      <c r="AL421" s="20">
        <v>1</v>
      </c>
      <c r="AM421" s="20">
        <f t="shared" si="107"/>
        <v>417</v>
      </c>
      <c r="AN421" s="20">
        <f t="shared" si="108"/>
        <v>-12379266330</v>
      </c>
      <c r="AO421" s="20"/>
    </row>
    <row r="422" spans="18:46">
      <c r="R422" s="97" t="s">
        <v>5505</v>
      </c>
      <c r="S422" s="93">
        <v>17049271.032000002</v>
      </c>
      <c r="U422" s="19" t="s">
        <v>5694</v>
      </c>
      <c r="V422" s="19">
        <v>158</v>
      </c>
      <c r="W422" s="115">
        <v>2094.2388179999998</v>
      </c>
      <c r="X422" s="115">
        <f t="shared" si="104"/>
        <v>330889.73324399994</v>
      </c>
      <c r="Y422" s="261" t="s">
        <v>5103</v>
      </c>
      <c r="Z422" t="s">
        <v>25</v>
      </c>
      <c r="AI422" s="20">
        <v>131</v>
      </c>
      <c r="AJ422" s="20" t="s">
        <v>5277</v>
      </c>
      <c r="AK422" s="115">
        <v>-9000000</v>
      </c>
      <c r="AL422" s="20">
        <v>8</v>
      </c>
      <c r="AM422" s="20">
        <f t="shared" si="107"/>
        <v>416</v>
      </c>
      <c r="AN422" s="20">
        <f t="shared" si="108"/>
        <v>-3744000000</v>
      </c>
      <c r="AO422" s="20"/>
    </row>
    <row r="423" spans="18:46">
      <c r="R423" s="97" t="s">
        <v>4209</v>
      </c>
      <c r="S423" s="93">
        <v>6829998</v>
      </c>
      <c r="U423" s="19" t="s">
        <v>963</v>
      </c>
      <c r="V423" s="19">
        <v>5033</v>
      </c>
      <c r="W423" s="115">
        <v>2229.4976999999999</v>
      </c>
      <c r="X423" s="115">
        <f t="shared" si="104"/>
        <v>11221061.924099999</v>
      </c>
      <c r="Y423" s="261" t="s">
        <v>5699</v>
      </c>
      <c r="AA423" t="s">
        <v>25</v>
      </c>
      <c r="AI423" s="20">
        <v>132</v>
      </c>
      <c r="AJ423" s="20" t="s">
        <v>5321</v>
      </c>
      <c r="AK423" s="115">
        <v>810000</v>
      </c>
      <c r="AL423" s="20">
        <v>2</v>
      </c>
      <c r="AM423" s="20">
        <f t="shared" si="107"/>
        <v>408</v>
      </c>
      <c r="AN423" s="20">
        <f t="shared" si="108"/>
        <v>330480000</v>
      </c>
      <c r="AO423" s="20"/>
    </row>
    <row r="424" spans="18:46">
      <c r="R424" s="97" t="s">
        <v>5525</v>
      </c>
      <c r="S424" s="93">
        <v>6982608.8207999999</v>
      </c>
      <c r="U424" s="19" t="s">
        <v>5703</v>
      </c>
      <c r="V424" s="19">
        <v>2870</v>
      </c>
      <c r="W424" s="115">
        <v>2303.2467459999998</v>
      </c>
      <c r="X424" s="115">
        <f t="shared" si="104"/>
        <v>6610318.1610199995</v>
      </c>
      <c r="Y424" s="261" t="s">
        <v>5103</v>
      </c>
      <c r="AI424" s="20">
        <v>133</v>
      </c>
      <c r="AJ424" s="20" t="s">
        <v>5326</v>
      </c>
      <c r="AK424" s="115">
        <v>-5000000</v>
      </c>
      <c r="AL424" s="20">
        <v>3</v>
      </c>
      <c r="AM424" s="20">
        <f t="shared" si="107"/>
        <v>406</v>
      </c>
      <c r="AN424" s="20">
        <f t="shared" si="108"/>
        <v>-2030000000</v>
      </c>
      <c r="AO424" s="20"/>
    </row>
    <row r="425" spans="18:46">
      <c r="R425" s="97" t="s">
        <v>5531</v>
      </c>
      <c r="S425" s="93">
        <v>7510131.0216000006</v>
      </c>
      <c r="U425" s="19" t="s">
        <v>5704</v>
      </c>
      <c r="V425" s="19">
        <v>307</v>
      </c>
      <c r="W425" s="115">
        <v>2315.0266360000001</v>
      </c>
      <c r="X425" s="115">
        <f t="shared" si="104"/>
        <v>710713.17725199996</v>
      </c>
      <c r="Y425" s="261" t="s">
        <v>5103</v>
      </c>
      <c r="AI425" s="20">
        <v>134</v>
      </c>
      <c r="AJ425" s="20" t="s">
        <v>5330</v>
      </c>
      <c r="AK425" s="115">
        <v>-26000000</v>
      </c>
      <c r="AL425" s="20">
        <v>0</v>
      </c>
      <c r="AM425" s="20">
        <f t="shared" si="107"/>
        <v>403</v>
      </c>
      <c r="AN425" s="20">
        <f t="shared" si="108"/>
        <v>-10478000000</v>
      </c>
      <c r="AO425" s="20"/>
    </row>
    <row r="426" spans="18:46" ht="30">
      <c r="R426" s="97" t="s">
        <v>5540</v>
      </c>
      <c r="S426" s="93">
        <v>7278025.5327000003</v>
      </c>
      <c r="U426" s="19" t="s">
        <v>5706</v>
      </c>
      <c r="V426" s="19">
        <v>35</v>
      </c>
      <c r="W426" s="115">
        <v>2315</v>
      </c>
      <c r="X426" s="115">
        <f t="shared" si="104"/>
        <v>81025</v>
      </c>
      <c r="Y426" s="261" t="s">
        <v>5708</v>
      </c>
      <c r="Z426" s="112"/>
      <c r="AI426" s="240">
        <v>135</v>
      </c>
      <c r="AJ426" s="240" t="s">
        <v>5330</v>
      </c>
      <c r="AK426" s="231">
        <v>-26000000</v>
      </c>
      <c r="AL426" s="240">
        <v>1</v>
      </c>
      <c r="AM426" s="240">
        <f t="shared" si="107"/>
        <v>403</v>
      </c>
      <c r="AN426" s="240">
        <f t="shared" si="108"/>
        <v>-10478000000</v>
      </c>
      <c r="AO426" s="240"/>
    </row>
    <row r="427" spans="18:46">
      <c r="R427" s="97" t="s">
        <v>5545</v>
      </c>
      <c r="S427" s="93">
        <v>195059.35799999998</v>
      </c>
      <c r="T427" t="s">
        <v>25</v>
      </c>
      <c r="U427" s="19" t="s">
        <v>5709</v>
      </c>
      <c r="V427" s="19">
        <v>94</v>
      </c>
      <c r="W427" s="115">
        <v>2337.1980119999998</v>
      </c>
      <c r="X427" s="115">
        <f t="shared" si="104"/>
        <v>219696.613128</v>
      </c>
      <c r="Y427" s="261" t="s">
        <v>5103</v>
      </c>
      <c r="Z427" t="s">
        <v>25</v>
      </c>
      <c r="AA427" t="s">
        <v>25</v>
      </c>
      <c r="AI427" s="20">
        <v>136</v>
      </c>
      <c r="AJ427" s="20" t="s">
        <v>5334</v>
      </c>
      <c r="AK427" s="115">
        <v>-81800000</v>
      </c>
      <c r="AL427" s="20">
        <v>0</v>
      </c>
      <c r="AM427" s="20">
        <f t="shared" si="107"/>
        <v>402</v>
      </c>
      <c r="AN427" s="20">
        <f t="shared" si="108"/>
        <v>-32883600000</v>
      </c>
      <c r="AO427" s="20"/>
    </row>
    <row r="428" spans="18:46">
      <c r="R428" s="97" t="s">
        <v>5547</v>
      </c>
      <c r="S428" s="93">
        <v>862577.83200000005</v>
      </c>
      <c r="U428" s="19" t="s">
        <v>5710</v>
      </c>
      <c r="V428" s="19">
        <v>2534</v>
      </c>
      <c r="W428" s="115">
        <v>2381.7965300000001</v>
      </c>
      <c r="X428" s="115">
        <f t="shared" si="104"/>
        <v>6035472.4070199998</v>
      </c>
      <c r="Y428" s="261" t="s">
        <v>5103</v>
      </c>
      <c r="AI428" s="240">
        <v>137</v>
      </c>
      <c r="AJ428" s="240" t="s">
        <v>5334</v>
      </c>
      <c r="AK428" s="231">
        <v>-110000000</v>
      </c>
      <c r="AL428" s="240">
        <v>1</v>
      </c>
      <c r="AM428" s="240">
        <f t="shared" si="107"/>
        <v>402</v>
      </c>
      <c r="AN428" s="240">
        <f t="shared" si="108"/>
        <v>-44220000000</v>
      </c>
      <c r="AO428" s="240"/>
    </row>
    <row r="429" spans="18:46">
      <c r="R429" s="97" t="s">
        <v>5548</v>
      </c>
      <c r="S429" s="93">
        <v>920308.446</v>
      </c>
      <c r="U429" s="19" t="s">
        <v>5711</v>
      </c>
      <c r="V429" s="19">
        <v>424</v>
      </c>
      <c r="W429" s="115">
        <v>2321.9017680000002</v>
      </c>
      <c r="X429" s="115">
        <f t="shared" si="104"/>
        <v>984486.34963200008</v>
      </c>
      <c r="Y429" s="261" t="s">
        <v>5103</v>
      </c>
      <c r="AA429" t="s">
        <v>25</v>
      </c>
      <c r="AI429" s="20">
        <v>138</v>
      </c>
      <c r="AJ429" s="20" t="s">
        <v>5335</v>
      </c>
      <c r="AK429" s="115">
        <v>-34000000</v>
      </c>
      <c r="AL429" s="20">
        <v>0</v>
      </c>
      <c r="AM429" s="20">
        <f t="shared" si="107"/>
        <v>401</v>
      </c>
      <c r="AN429" s="20">
        <f t="shared" si="108"/>
        <v>-13634000000</v>
      </c>
      <c r="AO429" s="20"/>
    </row>
    <row r="430" spans="18:46">
      <c r="R430" s="97" t="s">
        <v>5550</v>
      </c>
      <c r="S430" s="93">
        <v>4635809.8416840006</v>
      </c>
      <c r="U430" s="187" t="s">
        <v>5712</v>
      </c>
      <c r="V430" s="187">
        <v>-32</v>
      </c>
      <c r="W430" s="186">
        <v>2221.2123710000001</v>
      </c>
      <c r="X430" s="186">
        <f t="shared" si="104"/>
        <v>-71078.795872000002</v>
      </c>
      <c r="Y430" s="260" t="s">
        <v>5715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5579</v>
      </c>
      <c r="S431" s="93">
        <v>288892.40000000002</v>
      </c>
      <c r="U431" s="19" t="s">
        <v>5712</v>
      </c>
      <c r="V431" s="19">
        <v>157</v>
      </c>
      <c r="W431" s="115">
        <v>2221.2123710000001</v>
      </c>
      <c r="X431" s="115">
        <f t="shared" si="104"/>
        <v>348730.34224700002</v>
      </c>
      <c r="Y431" s="261" t="s">
        <v>5716</v>
      </c>
      <c r="AI431" s="20">
        <v>140</v>
      </c>
      <c r="AJ431" s="20" t="s">
        <v>5348</v>
      </c>
      <c r="AK431" s="115">
        <v>1000000</v>
      </c>
      <c r="AL431" s="20">
        <v>0</v>
      </c>
      <c r="AM431" s="20">
        <f t="shared" si="109"/>
        <v>396</v>
      </c>
      <c r="AN431" s="20">
        <f t="shared" si="110"/>
        <v>396000000</v>
      </c>
      <c r="AO431" s="20"/>
    </row>
    <row r="432" spans="18:46">
      <c r="R432" s="97" t="s">
        <v>5580</v>
      </c>
      <c r="S432" s="93">
        <v>58508002.009000003</v>
      </c>
      <c r="T432" t="s">
        <v>25</v>
      </c>
      <c r="U432" s="19" t="s">
        <v>5712</v>
      </c>
      <c r="V432" s="19">
        <v>965</v>
      </c>
      <c r="W432" s="115">
        <v>2221.2123710000001</v>
      </c>
      <c r="X432" s="115">
        <f t="shared" si="104"/>
        <v>2143469.938015</v>
      </c>
      <c r="Y432" s="261" t="s">
        <v>5103</v>
      </c>
      <c r="AI432" s="147">
        <v>141</v>
      </c>
      <c r="AJ432" s="147" t="s">
        <v>5348</v>
      </c>
      <c r="AK432" s="186">
        <v>1000000</v>
      </c>
      <c r="AL432" s="147">
        <v>4</v>
      </c>
      <c r="AM432" s="147">
        <f t="shared" si="109"/>
        <v>396</v>
      </c>
      <c r="AN432" s="147">
        <f t="shared" si="110"/>
        <v>396000000</v>
      </c>
      <c r="AO432" s="147"/>
    </row>
    <row r="433" spans="18:46">
      <c r="R433" s="97" t="s">
        <v>5582</v>
      </c>
      <c r="S433" s="93">
        <v>2245515.5410799999</v>
      </c>
      <c r="U433" s="187" t="s">
        <v>5718</v>
      </c>
      <c r="V433" s="187">
        <v>596</v>
      </c>
      <c r="W433" s="186">
        <v>2180.6765719999999</v>
      </c>
      <c r="X433" s="186">
        <f t="shared" si="104"/>
        <v>1299683.236912</v>
      </c>
      <c r="Y433" s="260" t="s">
        <v>1069</v>
      </c>
      <c r="Z433" t="s">
        <v>25</v>
      </c>
      <c r="AI433" s="20">
        <v>142</v>
      </c>
      <c r="AJ433" s="20" t="s">
        <v>5354</v>
      </c>
      <c r="AK433" s="115">
        <v>400000</v>
      </c>
      <c r="AL433" s="20">
        <v>0</v>
      </c>
      <c r="AM433" s="20">
        <f t="shared" si="109"/>
        <v>392</v>
      </c>
      <c r="AN433" s="20">
        <f t="shared" si="110"/>
        <v>156800000</v>
      </c>
      <c r="AO433" s="20"/>
    </row>
    <row r="434" spans="18:46">
      <c r="R434" s="97" t="s">
        <v>5582</v>
      </c>
      <c r="S434" s="93">
        <v>18404699.3442</v>
      </c>
      <c r="U434" s="19" t="s">
        <v>5722</v>
      </c>
      <c r="V434" s="19">
        <v>1355</v>
      </c>
      <c r="W434" s="115">
        <v>2277.0926330000002</v>
      </c>
      <c r="X434" s="115">
        <f t="shared" si="104"/>
        <v>3085460.5177150001</v>
      </c>
      <c r="Y434" s="261" t="s">
        <v>5103</v>
      </c>
      <c r="AI434" s="147">
        <v>143</v>
      </c>
      <c r="AJ434" s="147" t="s">
        <v>5354</v>
      </c>
      <c r="AK434" s="186">
        <v>400000</v>
      </c>
      <c r="AL434" s="147">
        <v>35</v>
      </c>
      <c r="AM434" s="147">
        <f t="shared" si="109"/>
        <v>392</v>
      </c>
      <c r="AN434" s="147">
        <f t="shared" si="110"/>
        <v>156800000</v>
      </c>
      <c r="AO434" s="147"/>
    </row>
    <row r="435" spans="18:46">
      <c r="R435" s="97" t="s">
        <v>5585</v>
      </c>
      <c r="S435" s="93">
        <v>48684800</v>
      </c>
      <c r="U435" s="19" t="s">
        <v>5723</v>
      </c>
      <c r="V435" s="19">
        <v>3742</v>
      </c>
      <c r="W435" s="115">
        <v>2207.7650429999999</v>
      </c>
      <c r="X435" s="115">
        <f t="shared" si="104"/>
        <v>8261456.790906</v>
      </c>
      <c r="Y435" s="261" t="s">
        <v>5103</v>
      </c>
      <c r="Z435" t="s">
        <v>25</v>
      </c>
      <c r="AI435" s="20">
        <v>144</v>
      </c>
      <c r="AJ435" s="20" t="s">
        <v>5388</v>
      </c>
      <c r="AK435" s="115">
        <v>3000000</v>
      </c>
      <c r="AL435" s="20">
        <v>0</v>
      </c>
      <c r="AM435" s="20">
        <f t="shared" si="109"/>
        <v>357</v>
      </c>
      <c r="AN435" s="20">
        <f t="shared" si="110"/>
        <v>1071000000</v>
      </c>
      <c r="AO435" s="20"/>
      <c r="AR435" t="s">
        <v>25</v>
      </c>
    </row>
    <row r="436" spans="18:46">
      <c r="R436" s="97" t="s">
        <v>5587</v>
      </c>
      <c r="S436" s="93">
        <v>2264658.5922190002</v>
      </c>
      <c r="U436" s="19" t="s">
        <v>5724</v>
      </c>
      <c r="V436" s="19">
        <v>3216</v>
      </c>
      <c r="W436" s="115">
        <v>2043.648557</v>
      </c>
      <c r="X436" s="115">
        <f t="shared" si="104"/>
        <v>6572373.7593120001</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5590</v>
      </c>
      <c r="S437" s="93">
        <v>22877413.789960001</v>
      </c>
      <c r="U437" s="187" t="s">
        <v>5726</v>
      </c>
      <c r="V437" s="187">
        <v>42393</v>
      </c>
      <c r="W437" s="186">
        <v>2124.4852740000001</v>
      </c>
      <c r="X437" s="186">
        <f t="shared" si="104"/>
        <v>90063304.22068201</v>
      </c>
      <c r="Y437" s="260" t="s">
        <v>5727</v>
      </c>
      <c r="Z437" t="s">
        <v>25</v>
      </c>
      <c r="AI437" s="147">
        <v>146</v>
      </c>
      <c r="AJ437" s="147" t="s">
        <v>5287</v>
      </c>
      <c r="AK437" s="186">
        <v>-8644090</v>
      </c>
      <c r="AL437" s="147">
        <v>0</v>
      </c>
      <c r="AM437" s="147">
        <f t="shared" si="111"/>
        <v>338</v>
      </c>
      <c r="AN437" s="147">
        <f t="shared" si="112"/>
        <v>-2921702420</v>
      </c>
      <c r="AO437" s="147" t="s">
        <v>4732</v>
      </c>
    </row>
    <row r="438" spans="18:46">
      <c r="R438" s="97" t="s">
        <v>5591</v>
      </c>
      <c r="S438" s="93">
        <v>2362539.4373280001</v>
      </c>
      <c r="U438" s="19" t="s">
        <v>5728</v>
      </c>
      <c r="V438" s="19">
        <v>1307</v>
      </c>
      <c r="W438" s="115">
        <v>2213.652313</v>
      </c>
      <c r="X438" s="115">
        <f t="shared" si="104"/>
        <v>2893243.5730909999</v>
      </c>
      <c r="Y438" s="261" t="s">
        <v>5103</v>
      </c>
      <c r="AI438" s="20">
        <v>147</v>
      </c>
      <c r="AJ438" s="20" t="s">
        <v>5287</v>
      </c>
      <c r="AK438" s="115">
        <v>-65461942</v>
      </c>
      <c r="AL438" s="20">
        <v>1</v>
      </c>
      <c r="AM438" s="20">
        <f t="shared" si="111"/>
        <v>338</v>
      </c>
      <c r="AN438" s="20">
        <f t="shared" si="112"/>
        <v>-22126136396</v>
      </c>
      <c r="AO438" s="20" t="s">
        <v>4732</v>
      </c>
    </row>
    <row r="439" spans="18:46">
      <c r="R439" s="97" t="s">
        <v>5592</v>
      </c>
      <c r="S439" s="93">
        <v>16042676.656608</v>
      </c>
      <c r="U439" s="19" t="s">
        <v>5729</v>
      </c>
      <c r="V439" s="19">
        <v>44079</v>
      </c>
      <c r="W439" s="115">
        <v>2155.0411519999998</v>
      </c>
      <c r="X439" s="115">
        <f t="shared" si="104"/>
        <v>94992058.939007998</v>
      </c>
      <c r="Y439" s="261" t="s">
        <v>5103</v>
      </c>
      <c r="Z439" t="s">
        <v>25</v>
      </c>
      <c r="AA439" t="s">
        <v>25</v>
      </c>
      <c r="AI439" s="20">
        <v>148</v>
      </c>
      <c r="AJ439" s="20" t="s">
        <v>5411</v>
      </c>
      <c r="AK439" s="115">
        <v>35000000</v>
      </c>
      <c r="AL439" s="20">
        <v>15</v>
      </c>
      <c r="AM439" s="20">
        <f t="shared" si="111"/>
        <v>337</v>
      </c>
      <c r="AN439" s="20">
        <f t="shared" si="112"/>
        <v>11795000000</v>
      </c>
      <c r="AO439" s="20"/>
      <c r="AT439" t="s">
        <v>25</v>
      </c>
    </row>
    <row r="440" spans="18:46">
      <c r="R440" s="97" t="s">
        <v>5595</v>
      </c>
      <c r="S440" s="93">
        <v>18403291.448284</v>
      </c>
      <c r="U440" s="19" t="s">
        <v>5734</v>
      </c>
      <c r="V440" s="19">
        <v>131</v>
      </c>
      <c r="W440" s="115">
        <v>2099.4040150000001</v>
      </c>
      <c r="X440" s="115">
        <f t="shared" si="104"/>
        <v>275021.925965</v>
      </c>
      <c r="Y440" s="261" t="s">
        <v>5103</v>
      </c>
      <c r="Z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5596</v>
      </c>
      <c r="S441" s="93">
        <v>10561447.246918</v>
      </c>
      <c r="U441" s="19" t="s">
        <v>5739</v>
      </c>
      <c r="V441" s="19">
        <v>162</v>
      </c>
      <c r="W441" s="115">
        <v>2021.3081500000001</v>
      </c>
      <c r="X441" s="115">
        <f t="shared" si="104"/>
        <v>327451.9203</v>
      </c>
      <c r="Y441" s="261" t="s">
        <v>5103</v>
      </c>
      <c r="AA441" t="s">
        <v>25</v>
      </c>
      <c r="AI441" s="20">
        <v>150</v>
      </c>
      <c r="AJ441" s="20" t="s">
        <v>5430</v>
      </c>
      <c r="AK441" s="115">
        <v>1600000</v>
      </c>
      <c r="AL441" s="20">
        <v>1</v>
      </c>
      <c r="AM441" s="20">
        <f t="shared" si="113"/>
        <v>322</v>
      </c>
      <c r="AN441" s="20">
        <f t="shared" si="114"/>
        <v>515200000</v>
      </c>
      <c r="AO441" s="20"/>
    </row>
    <row r="442" spans="18:46">
      <c r="R442" s="97" t="s">
        <v>5597</v>
      </c>
      <c r="S442" s="93">
        <v>1226811.9176660001</v>
      </c>
      <c r="U442" s="19" t="s">
        <v>5749</v>
      </c>
      <c r="V442" s="19">
        <v>131</v>
      </c>
      <c r="W442" s="115">
        <v>1985.358328</v>
      </c>
      <c r="X442" s="115">
        <f t="shared" si="104"/>
        <v>260081.94096800001</v>
      </c>
      <c r="Y442" s="261" t="s">
        <v>5103</v>
      </c>
      <c r="AA442" t="s">
        <v>25</v>
      </c>
      <c r="AI442" s="147">
        <v>151</v>
      </c>
      <c r="AJ442" s="147" t="s">
        <v>5433</v>
      </c>
      <c r="AK442" s="186">
        <v>600000</v>
      </c>
      <c r="AL442" s="147">
        <v>0</v>
      </c>
      <c r="AM442" s="147">
        <f t="shared" si="113"/>
        <v>321</v>
      </c>
      <c r="AN442" s="147">
        <f t="shared" si="114"/>
        <v>192600000</v>
      </c>
      <c r="AO442" s="147" t="s">
        <v>5435</v>
      </c>
    </row>
    <row r="443" spans="18:46">
      <c r="R443" s="97" t="s">
        <v>5602</v>
      </c>
      <c r="S443" s="93">
        <v>39373959.190266006</v>
      </c>
      <c r="U443" s="19" t="s">
        <v>5757</v>
      </c>
      <c r="V443" s="19">
        <v>1449</v>
      </c>
      <c r="W443" s="115">
        <v>2007.787806</v>
      </c>
      <c r="X443" s="115">
        <f t="shared" si="104"/>
        <v>2909284.5308940001</v>
      </c>
      <c r="Y443" s="261" t="s">
        <v>5103</v>
      </c>
      <c r="AA443" t="s">
        <v>25</v>
      </c>
      <c r="AI443" s="20">
        <v>152</v>
      </c>
      <c r="AJ443" s="20" t="s">
        <v>5433</v>
      </c>
      <c r="AK443" s="115">
        <v>600000</v>
      </c>
      <c r="AL443" s="20">
        <v>9</v>
      </c>
      <c r="AM443" s="20">
        <f>AL443+AM444</f>
        <v>321</v>
      </c>
      <c r="AN443" s="20">
        <f t="shared" si="114"/>
        <v>192600000</v>
      </c>
      <c r="AO443" s="20" t="s">
        <v>5435</v>
      </c>
    </row>
    <row r="444" spans="18:46">
      <c r="R444" s="97" t="s">
        <v>5603</v>
      </c>
      <c r="S444" s="93">
        <v>27703487.063980002</v>
      </c>
      <c r="U444" s="19" t="s">
        <v>5758</v>
      </c>
      <c r="V444" s="19">
        <v>19028</v>
      </c>
      <c r="W444" s="115">
        <v>1982.5102529999999</v>
      </c>
      <c r="X444" s="115">
        <f t="shared" si="104"/>
        <v>37723205.094084002</v>
      </c>
      <c r="Y444" s="261" t="s">
        <v>5103</v>
      </c>
      <c r="Z444" t="s">
        <v>25</v>
      </c>
      <c r="AA444" t="s">
        <v>25</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4182</v>
      </c>
      <c r="S445" s="93">
        <v>8738896.6890719999</v>
      </c>
      <c r="U445" s="19" t="s">
        <v>5759</v>
      </c>
      <c r="V445" s="19">
        <v>848</v>
      </c>
      <c r="W445" s="115">
        <v>1768.97966</v>
      </c>
      <c r="X445" s="115">
        <f t="shared" si="104"/>
        <v>1500094.75168</v>
      </c>
      <c r="Y445" s="261" t="s">
        <v>5103</v>
      </c>
      <c r="AI445" s="20">
        <v>154</v>
      </c>
      <c r="AJ445" s="20" t="s">
        <v>5483</v>
      </c>
      <c r="AK445" s="115">
        <v>-46183500</v>
      </c>
      <c r="AL445" s="20">
        <v>0</v>
      </c>
      <c r="AM445" s="20">
        <f t="shared" si="115"/>
        <v>289</v>
      </c>
      <c r="AN445" s="20">
        <f t="shared" si="116"/>
        <v>-13347031500</v>
      </c>
      <c r="AO445" s="20" t="s">
        <v>4854</v>
      </c>
    </row>
    <row r="446" spans="18:46">
      <c r="R446" s="97" t="s">
        <v>5605</v>
      </c>
      <c r="S446" s="93">
        <v>348201.66738</v>
      </c>
      <c r="U446" s="19" t="s">
        <v>5760</v>
      </c>
      <c r="V446" s="19">
        <v>3824</v>
      </c>
      <c r="W446" s="115">
        <v>1890.8547169999999</v>
      </c>
      <c r="X446" s="115">
        <f t="shared" si="104"/>
        <v>7230628.4378079996</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5609</v>
      </c>
      <c r="S447" s="93">
        <v>4158090.8935679998</v>
      </c>
      <c r="U447" s="19" t="s">
        <v>5762</v>
      </c>
      <c r="V447" s="19">
        <v>14010</v>
      </c>
      <c r="W447" s="115">
        <v>2124.7244390000001</v>
      </c>
      <c r="X447" s="115">
        <f t="shared" si="104"/>
        <v>29767389.390390001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5606</v>
      </c>
      <c r="S448" s="93">
        <v>110770524.97879399</v>
      </c>
      <c r="U448" s="19" t="s">
        <v>5763</v>
      </c>
      <c r="V448" s="19">
        <v>73</v>
      </c>
      <c r="W448" s="115">
        <v>2076.1678900000002</v>
      </c>
      <c r="X448" s="115">
        <f t="shared" si="104"/>
        <v>151560.25597</v>
      </c>
      <c r="Y448" s="261" t="s">
        <v>5103</v>
      </c>
      <c r="AB448" t="s">
        <v>25</v>
      </c>
      <c r="AI448" s="147">
        <v>157</v>
      </c>
      <c r="AJ448" s="147" t="s">
        <v>5487</v>
      </c>
      <c r="AK448" s="186">
        <v>60000</v>
      </c>
      <c r="AL448" s="147">
        <v>5</v>
      </c>
      <c r="AM448" s="147">
        <f t="shared" si="117"/>
        <v>287</v>
      </c>
      <c r="AN448" s="147">
        <f t="shared" si="118"/>
        <v>17220000</v>
      </c>
      <c r="AO448" s="147"/>
    </row>
    <row r="449" spans="18:45">
      <c r="R449" s="97" t="s">
        <v>5609</v>
      </c>
      <c r="S449" s="93">
        <v>17900000</v>
      </c>
      <c r="U449" s="19" t="s">
        <v>5765</v>
      </c>
      <c r="V449" s="19">
        <v>236</v>
      </c>
      <c r="W449" s="115">
        <v>2039.4867830000001</v>
      </c>
      <c r="X449" s="115">
        <f t="shared" si="104"/>
        <v>481318.88078800001</v>
      </c>
      <c r="Y449" s="261" t="s">
        <v>5103</v>
      </c>
      <c r="AI449" s="20">
        <v>158</v>
      </c>
      <c r="AJ449" s="20" t="s">
        <v>5492</v>
      </c>
      <c r="AK449" s="115">
        <v>50000000</v>
      </c>
      <c r="AL449" s="20">
        <v>29</v>
      </c>
      <c r="AM449" s="20">
        <f t="shared" si="117"/>
        <v>282</v>
      </c>
      <c r="AN449" s="20">
        <f t="shared" si="118"/>
        <v>14100000000</v>
      </c>
      <c r="AO449" s="20" t="s">
        <v>5494</v>
      </c>
      <c r="AS449" t="s">
        <v>25</v>
      </c>
    </row>
    <row r="450" spans="18:45">
      <c r="R450" s="97" t="s">
        <v>5621</v>
      </c>
      <c r="S450" s="93">
        <v>12114824.927374</v>
      </c>
      <c r="U450" s="19" t="s">
        <v>5768</v>
      </c>
      <c r="V450" s="19">
        <v>75</v>
      </c>
      <c r="W450" s="115">
        <v>1950.3675760000001</v>
      </c>
      <c r="X450" s="115">
        <f t="shared" si="104"/>
        <v>146277.56820000001</v>
      </c>
      <c r="Y450" s="261" t="s">
        <v>5103</v>
      </c>
      <c r="AI450" s="20">
        <v>159</v>
      </c>
      <c r="AJ450" s="20" t="s">
        <v>5550</v>
      </c>
      <c r="AK450" s="115">
        <v>100000</v>
      </c>
      <c r="AL450" s="20">
        <v>1</v>
      </c>
      <c r="AM450" s="20">
        <f t="shared" si="117"/>
        <v>253</v>
      </c>
      <c r="AN450" s="20">
        <f t="shared" si="118"/>
        <v>25300000</v>
      </c>
      <c r="AO450" s="20"/>
    </row>
    <row r="451" spans="18:45">
      <c r="R451" s="97" t="s">
        <v>5624</v>
      </c>
      <c r="S451" s="93">
        <v>6684147.0064600008</v>
      </c>
      <c r="U451" s="19" t="s">
        <v>5780</v>
      </c>
      <c r="V451" s="19">
        <v>232</v>
      </c>
      <c r="W451" s="115">
        <v>1830.5750069999999</v>
      </c>
      <c r="X451" s="115">
        <f t="shared" si="104"/>
        <v>424693.40162399999</v>
      </c>
      <c r="Y451" s="261" t="s">
        <v>5103</v>
      </c>
      <c r="Z451" t="s">
        <v>25</v>
      </c>
      <c r="AG451" s="94" t="s">
        <v>25</v>
      </c>
      <c r="AI451" s="147">
        <v>160</v>
      </c>
      <c r="AJ451" s="147" t="s">
        <v>5539</v>
      </c>
      <c r="AK451" s="186">
        <v>150000</v>
      </c>
      <c r="AL451" s="147">
        <v>0</v>
      </c>
      <c r="AM451" s="147">
        <f t="shared" si="117"/>
        <v>252</v>
      </c>
      <c r="AN451" s="147">
        <f t="shared" si="118"/>
        <v>37800000</v>
      </c>
      <c r="AO451" s="147"/>
    </row>
    <row r="452" spans="18:45">
      <c r="R452" s="97" t="s">
        <v>5628</v>
      </c>
      <c r="S452" s="93">
        <v>1826535.2307560001</v>
      </c>
      <c r="U452" s="19" t="s">
        <v>5783</v>
      </c>
      <c r="V452" s="19">
        <v>308</v>
      </c>
      <c r="W452" s="115">
        <v>1812.728578</v>
      </c>
      <c r="X452" s="115">
        <f t="shared" si="104"/>
        <v>558320.40202399995</v>
      </c>
      <c r="Y452" s="261" t="s">
        <v>5103</v>
      </c>
      <c r="Z452" t="s">
        <v>25</v>
      </c>
      <c r="AI452" s="20">
        <v>161</v>
      </c>
      <c r="AJ452" s="20" t="s">
        <v>5539</v>
      </c>
      <c r="AK452" s="115">
        <v>-683050</v>
      </c>
      <c r="AL452" s="20">
        <v>7</v>
      </c>
      <c r="AM452" s="20">
        <f t="shared" si="117"/>
        <v>252</v>
      </c>
      <c r="AN452" s="20">
        <f t="shared" si="118"/>
        <v>-172128600</v>
      </c>
      <c r="AO452" s="20" t="s">
        <v>5553</v>
      </c>
    </row>
    <row r="453" spans="18:45">
      <c r="R453" s="97" t="s">
        <v>5630</v>
      </c>
      <c r="S453" s="93">
        <v>3577366.94</v>
      </c>
      <c r="U453" s="19" t="s">
        <v>5785</v>
      </c>
      <c r="V453" s="19">
        <v>106</v>
      </c>
      <c r="W453" s="115">
        <v>1958.8888869</v>
      </c>
      <c r="X453" s="115">
        <f t="shared" si="104"/>
        <v>207642.22201140001</v>
      </c>
      <c r="Y453" s="261" t="s">
        <v>5103</v>
      </c>
      <c r="AI453" s="147">
        <v>162</v>
      </c>
      <c r="AJ453" s="147" t="s">
        <v>5561</v>
      </c>
      <c r="AK453" s="186">
        <v>200000</v>
      </c>
      <c r="AL453" s="147">
        <v>7</v>
      </c>
      <c r="AM453" s="147">
        <f t="shared" si="117"/>
        <v>245</v>
      </c>
      <c r="AN453" s="147">
        <f t="shared" si="118"/>
        <v>49000000</v>
      </c>
      <c r="AO453" s="147"/>
    </row>
    <row r="454" spans="18:45">
      <c r="R454" s="97" t="s">
        <v>5633</v>
      </c>
      <c r="S454" s="93">
        <v>21239029.173567999</v>
      </c>
      <c r="U454" s="19" t="s">
        <v>5807</v>
      </c>
      <c r="V454" s="19">
        <v>17050</v>
      </c>
      <c r="W454" s="115">
        <v>1984.311475</v>
      </c>
      <c r="X454" s="115">
        <f t="shared" si="104"/>
        <v>33832510.64875</v>
      </c>
      <c r="Y454" s="261" t="s">
        <v>5809</v>
      </c>
      <c r="Z454" t="s">
        <v>25</v>
      </c>
      <c r="AB454" t="s">
        <v>25</v>
      </c>
      <c r="AI454" s="147">
        <v>163</v>
      </c>
      <c r="AJ454" s="147" t="s">
        <v>5566</v>
      </c>
      <c r="AK454" s="186">
        <v>150000</v>
      </c>
      <c r="AL454" s="147">
        <v>5</v>
      </c>
      <c r="AM454" s="147">
        <f t="shared" si="117"/>
        <v>238</v>
      </c>
      <c r="AN454" s="147">
        <f t="shared" si="118"/>
        <v>35700000</v>
      </c>
      <c r="AO454" s="147"/>
    </row>
    <row r="455" spans="18:45">
      <c r="R455" s="97" t="s">
        <v>5638</v>
      </c>
      <c r="S455" s="93">
        <v>242957252.40163299</v>
      </c>
      <c r="U455" s="19" t="s">
        <v>5807</v>
      </c>
      <c r="V455" s="19">
        <v>17050</v>
      </c>
      <c r="W455" s="115">
        <v>1984.311475</v>
      </c>
      <c r="X455" s="115">
        <f t="shared" si="104"/>
        <v>33832510.64875</v>
      </c>
      <c r="Y455" s="261" t="s">
        <v>5810</v>
      </c>
      <c r="Z455" t="s">
        <v>25</v>
      </c>
      <c r="AI455" s="20">
        <v>164</v>
      </c>
      <c r="AJ455" s="20" t="s">
        <v>5570</v>
      </c>
      <c r="AK455" s="115">
        <v>320000</v>
      </c>
      <c r="AL455" s="20">
        <v>2</v>
      </c>
      <c r="AM455" s="20">
        <f t="shared" si="117"/>
        <v>233</v>
      </c>
      <c r="AN455" s="20">
        <f t="shared" si="118"/>
        <v>74560000</v>
      </c>
      <c r="AO455" s="20"/>
    </row>
    <row r="456" spans="18:45">
      <c r="R456" s="97" t="s">
        <v>5639</v>
      </c>
      <c r="S456" s="93">
        <v>7357181.2750800001</v>
      </c>
      <c r="U456" s="19" t="s">
        <v>5812</v>
      </c>
      <c r="V456" s="19">
        <v>9659</v>
      </c>
      <c r="W456" s="115">
        <v>2073.8685089999999</v>
      </c>
      <c r="X456" s="115">
        <f t="shared" si="104"/>
        <v>20031495.928431001</v>
      </c>
      <c r="Y456" s="261" t="s">
        <v>5813</v>
      </c>
      <c r="Z456" t="s">
        <v>25</v>
      </c>
      <c r="AI456" s="20">
        <v>165</v>
      </c>
      <c r="AJ456" s="20" t="s">
        <v>5571</v>
      </c>
      <c r="AK456" s="115">
        <v>200000</v>
      </c>
      <c r="AL456" s="20">
        <v>29</v>
      </c>
      <c r="AM456" s="20">
        <f t="shared" si="117"/>
        <v>231</v>
      </c>
      <c r="AN456" s="20">
        <f t="shared" si="118"/>
        <v>46200000</v>
      </c>
      <c r="AO456" s="20"/>
    </row>
    <row r="457" spans="18:45">
      <c r="R457" s="97" t="s">
        <v>5643</v>
      </c>
      <c r="S457" s="93">
        <v>14951411.942400001</v>
      </c>
      <c r="U457" s="19" t="s">
        <v>5818</v>
      </c>
      <c r="V457" s="19">
        <v>323</v>
      </c>
      <c r="W457" s="115">
        <v>1975.162028</v>
      </c>
      <c r="X457" s="115">
        <f t="shared" si="104"/>
        <v>637977.33504399995</v>
      </c>
      <c r="Y457" s="261" t="s">
        <v>5103</v>
      </c>
      <c r="AI457" s="20">
        <v>166</v>
      </c>
      <c r="AJ457" s="20" t="s">
        <v>5606</v>
      </c>
      <c r="AK457" s="115">
        <v>4200000</v>
      </c>
      <c r="AL457" s="20">
        <v>0</v>
      </c>
      <c r="AM457" s="20">
        <f t="shared" si="117"/>
        <v>202</v>
      </c>
      <c r="AN457" s="20">
        <f t="shared" si="118"/>
        <v>848400000</v>
      </c>
      <c r="AO457" s="20"/>
    </row>
    <row r="458" spans="18:45">
      <c r="R458" s="97" t="s">
        <v>5645</v>
      </c>
      <c r="S458" s="93">
        <v>47928209.377011999</v>
      </c>
      <c r="U458" s="19" t="s">
        <v>5819</v>
      </c>
      <c r="V458" s="19">
        <v>238</v>
      </c>
      <c r="W458" s="115">
        <v>1960.303598</v>
      </c>
      <c r="X458" s="115">
        <f t="shared" si="104"/>
        <v>466552.25632400002</v>
      </c>
      <c r="Y458" s="261" t="s">
        <v>5103</v>
      </c>
      <c r="AA458" t="s">
        <v>25</v>
      </c>
      <c r="AI458" s="147">
        <v>167</v>
      </c>
      <c r="AJ458" s="147" t="s">
        <v>5606</v>
      </c>
      <c r="AK458" s="186">
        <v>3300000</v>
      </c>
      <c r="AL458" s="147">
        <v>11</v>
      </c>
      <c r="AM458" s="147">
        <f t="shared" si="117"/>
        <v>202</v>
      </c>
      <c r="AN458" s="147">
        <f t="shared" si="118"/>
        <v>666600000</v>
      </c>
      <c r="AO458" s="147"/>
    </row>
    <row r="459" spans="18:45">
      <c r="R459" s="97" t="s">
        <v>5647</v>
      </c>
      <c r="S459" s="93">
        <v>2281595.69937</v>
      </c>
      <c r="U459" s="19" t="s">
        <v>5820</v>
      </c>
      <c r="V459" s="19">
        <v>75</v>
      </c>
      <c r="W459" s="115">
        <v>1990.893174</v>
      </c>
      <c r="X459" s="115">
        <f t="shared" si="104"/>
        <v>149316.98805000001</v>
      </c>
      <c r="Y459" s="261" t="s">
        <v>5821</v>
      </c>
      <c r="AA459" t="s">
        <v>25</v>
      </c>
      <c r="AI459" s="147">
        <v>168</v>
      </c>
      <c r="AJ459" s="147" t="s">
        <v>5630</v>
      </c>
      <c r="AK459" s="186">
        <v>-1500000</v>
      </c>
      <c r="AL459" s="147">
        <v>42</v>
      </c>
      <c r="AM459" s="147">
        <f t="shared" si="117"/>
        <v>191</v>
      </c>
      <c r="AN459" s="147">
        <f t="shared" si="118"/>
        <v>-286500000</v>
      </c>
      <c r="AO459" s="147"/>
    </row>
    <row r="460" spans="18:45">
      <c r="R460" s="97" t="s">
        <v>5648</v>
      </c>
      <c r="S460" s="93">
        <v>2964916.035069</v>
      </c>
      <c r="U460" s="19" t="s">
        <v>5820</v>
      </c>
      <c r="V460" s="19">
        <v>95</v>
      </c>
      <c r="W460" s="115">
        <v>1990.893174</v>
      </c>
      <c r="X460" s="115">
        <f t="shared" si="104"/>
        <v>189134.85153000001</v>
      </c>
      <c r="Y460" s="261" t="s">
        <v>5103</v>
      </c>
      <c r="AA460" t="s">
        <v>25</v>
      </c>
      <c r="AI460" s="20">
        <v>169</v>
      </c>
      <c r="AJ460" s="20" t="s">
        <v>5676</v>
      </c>
      <c r="AK460" s="115">
        <v>260000</v>
      </c>
      <c r="AL460" s="20">
        <v>22</v>
      </c>
      <c r="AM460" s="20">
        <f t="shared" si="117"/>
        <v>149</v>
      </c>
      <c r="AN460" s="20">
        <f t="shared" si="118"/>
        <v>38740000</v>
      </c>
      <c r="AO460" s="20"/>
    </row>
    <row r="461" spans="18:45">
      <c r="R461" s="97" t="s">
        <v>5650</v>
      </c>
      <c r="S461" s="93">
        <v>6460549.4269619994</v>
      </c>
      <c r="U461" s="19" t="s">
        <v>5822</v>
      </c>
      <c r="V461" s="19">
        <v>284</v>
      </c>
      <c r="W461" s="115">
        <v>1989.045169</v>
      </c>
      <c r="X461" s="115">
        <f t="shared" si="104"/>
        <v>564888.82799599995</v>
      </c>
      <c r="Y461" s="261" t="s">
        <v>5103</v>
      </c>
      <c r="AA461" t="s">
        <v>25</v>
      </c>
      <c r="AI461" s="20">
        <v>170</v>
      </c>
      <c r="AJ461" s="20" t="s">
        <v>5704</v>
      </c>
      <c r="AK461" s="115">
        <v>20000</v>
      </c>
      <c r="AL461" s="20">
        <v>0</v>
      </c>
      <c r="AM461" s="20">
        <f t="shared" si="117"/>
        <v>127</v>
      </c>
      <c r="AN461" s="20">
        <f t="shared" si="118"/>
        <v>2540000</v>
      </c>
      <c r="AO461" s="20"/>
    </row>
    <row r="462" spans="18:45" ht="30">
      <c r="R462" s="97" t="s">
        <v>5653</v>
      </c>
      <c r="S462" s="93">
        <v>5212319.8968359996</v>
      </c>
      <c r="U462" s="187" t="s">
        <v>5825</v>
      </c>
      <c r="V462" s="187">
        <v>11034</v>
      </c>
      <c r="W462" s="186">
        <v>1960.6845390000001</v>
      </c>
      <c r="X462" s="186">
        <f t="shared" si="104"/>
        <v>21634193.203326002</v>
      </c>
      <c r="Y462" s="260" t="s">
        <v>5829</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ht="30">
      <c r="R463" s="97" t="s">
        <v>5655</v>
      </c>
      <c r="S463" s="93">
        <v>4524496.4792809999</v>
      </c>
      <c r="U463" s="19" t="s">
        <v>5825</v>
      </c>
      <c r="V463" s="19">
        <v>4469</v>
      </c>
      <c r="W463" s="115">
        <v>1960.6845390000001</v>
      </c>
      <c r="X463" s="115">
        <f t="shared" si="104"/>
        <v>8762299.2047910001</v>
      </c>
      <c r="Y463" s="261" t="s">
        <v>5830</v>
      </c>
      <c r="AA463" t="s">
        <v>25</v>
      </c>
      <c r="AI463" s="147">
        <v>172</v>
      </c>
      <c r="AJ463" s="147" t="s">
        <v>5712</v>
      </c>
      <c r="AK463" s="186">
        <v>70000</v>
      </c>
      <c r="AL463" s="147">
        <v>0</v>
      </c>
      <c r="AM463" s="147">
        <f t="shared" si="119"/>
        <v>120</v>
      </c>
      <c r="AN463" s="147">
        <f t="shared" si="120"/>
        <v>8400000</v>
      </c>
      <c r="AO463" s="147"/>
    </row>
    <row r="464" spans="18:45">
      <c r="R464" s="97" t="s">
        <v>5657</v>
      </c>
      <c r="S464" s="93">
        <v>22866040.240959998</v>
      </c>
      <c r="U464" s="19" t="s">
        <v>5825</v>
      </c>
      <c r="V464" s="19">
        <v>-174834</v>
      </c>
      <c r="W464" s="115">
        <v>1955.271154</v>
      </c>
      <c r="X464" s="115">
        <f t="shared" si="104"/>
        <v>-341847876.93843603</v>
      </c>
      <c r="Y464" s="261" t="s">
        <v>5831</v>
      </c>
      <c r="AI464" s="20">
        <v>173</v>
      </c>
      <c r="AJ464" s="20" t="s">
        <v>5712</v>
      </c>
      <c r="AK464" s="115">
        <v>70000</v>
      </c>
      <c r="AL464" s="20">
        <v>1</v>
      </c>
      <c r="AM464" s="20">
        <f t="shared" si="119"/>
        <v>120</v>
      </c>
      <c r="AN464" s="20">
        <f t="shared" si="120"/>
        <v>8400000</v>
      </c>
      <c r="AO464" s="20"/>
      <c r="AS464" t="s">
        <v>25</v>
      </c>
    </row>
    <row r="465" spans="18:46">
      <c r="R465" s="97" t="s">
        <v>5659</v>
      </c>
      <c r="S465" s="93">
        <v>15359304.269892</v>
      </c>
      <c r="U465" s="19" t="s">
        <v>5825</v>
      </c>
      <c r="V465" s="19">
        <v>-78942</v>
      </c>
      <c r="W465" s="115">
        <v>1955.271154</v>
      </c>
      <c r="X465" s="115">
        <f t="shared" si="104"/>
        <v>-154353015.43906799</v>
      </c>
      <c r="Y465" s="261" t="s">
        <v>5832</v>
      </c>
      <c r="AA465" t="s">
        <v>25</v>
      </c>
      <c r="AI465" s="20">
        <v>174</v>
      </c>
      <c r="AJ465" s="20" t="s">
        <v>5718</v>
      </c>
      <c r="AK465" s="115">
        <v>330000</v>
      </c>
      <c r="AL465" s="20">
        <v>0</v>
      </c>
      <c r="AM465" s="20">
        <f t="shared" si="119"/>
        <v>119</v>
      </c>
      <c r="AN465" s="20">
        <f t="shared" si="120"/>
        <v>39270000</v>
      </c>
      <c r="AO465" s="20"/>
      <c r="AS465" t="s">
        <v>25</v>
      </c>
    </row>
    <row r="466" spans="18:46">
      <c r="R466" s="97" t="s">
        <v>5660</v>
      </c>
      <c r="S466" s="93">
        <v>2868508.1846330003</v>
      </c>
      <c r="U466" s="187" t="s">
        <v>5825</v>
      </c>
      <c r="V466" s="187">
        <v>-11518</v>
      </c>
      <c r="W466" s="186">
        <v>1955.271154</v>
      </c>
      <c r="X466" s="186">
        <f t="shared" si="104"/>
        <v>-22520813.151772</v>
      </c>
      <c r="Y466" s="260" t="s">
        <v>5833</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5661</v>
      </c>
      <c r="S467" s="93">
        <v>17450393.011856001</v>
      </c>
      <c r="U467" s="19" t="s">
        <v>5844</v>
      </c>
      <c r="V467" s="19">
        <v>8622</v>
      </c>
      <c r="W467" s="115">
        <v>1930.4022150000001</v>
      </c>
      <c r="X467" s="115">
        <f t="shared" si="104"/>
        <v>16643927.89773</v>
      </c>
      <c r="Y467" s="261" t="s">
        <v>743</v>
      </c>
      <c r="AA467" t="s">
        <v>25</v>
      </c>
      <c r="AI467" s="147">
        <v>176</v>
      </c>
      <c r="AJ467" s="147" t="s">
        <v>5726</v>
      </c>
      <c r="AK467" s="186">
        <v>90000000</v>
      </c>
      <c r="AL467" s="147">
        <v>16</v>
      </c>
      <c r="AM467" s="147">
        <f t="shared" si="121"/>
        <v>109</v>
      </c>
      <c r="AN467" s="147">
        <f t="shared" si="122"/>
        <v>9810000000</v>
      </c>
      <c r="AO467" s="147"/>
      <c r="AT467" t="s">
        <v>25</v>
      </c>
    </row>
    <row r="468" spans="18:46">
      <c r="R468" s="97" t="s">
        <v>5662</v>
      </c>
      <c r="S468" s="93">
        <v>31388943.254850004</v>
      </c>
      <c r="U468" s="19" t="s">
        <v>5845</v>
      </c>
      <c r="V468" s="19">
        <v>17384</v>
      </c>
      <c r="W468" s="115">
        <v>1918.745255</v>
      </c>
      <c r="X468" s="115">
        <f t="shared" si="104"/>
        <v>33355467.51292</v>
      </c>
      <c r="Y468" s="261" t="s">
        <v>743</v>
      </c>
      <c r="Z468" t="s">
        <v>25</v>
      </c>
      <c r="AA468" t="s">
        <v>25</v>
      </c>
      <c r="AI468" s="147">
        <v>177</v>
      </c>
      <c r="AJ468" s="147" t="s">
        <v>5747</v>
      </c>
      <c r="AK468" s="186">
        <v>-15000000</v>
      </c>
      <c r="AL468" s="147">
        <v>65</v>
      </c>
      <c r="AM468" s="147">
        <f t="shared" si="121"/>
        <v>93</v>
      </c>
      <c r="AN468" s="147">
        <f t="shared" si="122"/>
        <v>-1395000000</v>
      </c>
      <c r="AO468" s="147" t="s">
        <v>5748</v>
      </c>
    </row>
    <row r="469" spans="18:46">
      <c r="R469" s="97" t="s">
        <v>5664</v>
      </c>
      <c r="S469" s="93">
        <v>30912095.373174001</v>
      </c>
      <c r="U469" s="19" t="s">
        <v>5857</v>
      </c>
      <c r="V469" s="19">
        <v>133</v>
      </c>
      <c r="W469" s="115">
        <v>1954.8389770000001</v>
      </c>
      <c r="X469" s="115">
        <f t="shared" si="104"/>
        <v>259993.58394100002</v>
      </c>
      <c r="Y469" s="261" t="s">
        <v>5103</v>
      </c>
      <c r="AB469" t="s">
        <v>25</v>
      </c>
      <c r="AI469" s="147">
        <v>178</v>
      </c>
      <c r="AJ469" s="147" t="s">
        <v>5807</v>
      </c>
      <c r="AK469" s="186">
        <v>33833075</v>
      </c>
      <c r="AL469" s="147">
        <v>0</v>
      </c>
      <c r="AM469" s="147">
        <f t="shared" si="121"/>
        <v>28</v>
      </c>
      <c r="AN469" s="147">
        <f t="shared" si="122"/>
        <v>947326100</v>
      </c>
      <c r="AO469" s="147" t="s">
        <v>5811</v>
      </c>
    </row>
    <row r="470" spans="18:46">
      <c r="R470" s="97" t="s">
        <v>5668</v>
      </c>
      <c r="S470" s="93">
        <v>19602926.115093999</v>
      </c>
      <c r="U470" s="19" t="s">
        <v>5858</v>
      </c>
      <c r="V470" s="19">
        <v>140</v>
      </c>
      <c r="W470" s="115">
        <v>1928.2522289999999</v>
      </c>
      <c r="X470" s="115">
        <f t="shared" si="104"/>
        <v>269955.31205999997</v>
      </c>
      <c r="Y470" s="261" t="s">
        <v>5103</v>
      </c>
      <c r="Z470" t="s">
        <v>25</v>
      </c>
      <c r="AI470" s="20">
        <v>197</v>
      </c>
      <c r="AJ470" s="20" t="s">
        <v>5807</v>
      </c>
      <c r="AK470" s="115">
        <v>20033075</v>
      </c>
      <c r="AL470" s="20">
        <v>28</v>
      </c>
      <c r="AM470" s="20">
        <f t="shared" si="121"/>
        <v>28</v>
      </c>
      <c r="AN470" s="20">
        <f t="shared" si="122"/>
        <v>560926100</v>
      </c>
      <c r="AO470" s="20" t="s">
        <v>5811</v>
      </c>
    </row>
    <row r="471" spans="18:46">
      <c r="R471" s="97" t="s">
        <v>5670</v>
      </c>
      <c r="S471" s="93">
        <v>34458590.308710001</v>
      </c>
      <c r="U471" s="19" t="s">
        <v>6390</v>
      </c>
      <c r="V471" s="19">
        <v>15839</v>
      </c>
      <c r="W471" s="115">
        <v>1893.9957079999999</v>
      </c>
      <c r="X471" s="115">
        <f t="shared" si="104"/>
        <v>29998998.019012</v>
      </c>
      <c r="Y471" s="261" t="s">
        <v>6389</v>
      </c>
      <c r="AA471" t="s">
        <v>25</v>
      </c>
      <c r="AB471" t="s">
        <v>25</v>
      </c>
      <c r="AI471" s="147">
        <v>198</v>
      </c>
      <c r="AJ471" s="147" t="s">
        <v>5825</v>
      </c>
      <c r="AK471" s="186">
        <v>-22520813.151772</v>
      </c>
      <c r="AL471" s="147">
        <v>0</v>
      </c>
      <c r="AM471" s="147">
        <f>AL471+AM487</f>
        <v>0</v>
      </c>
      <c r="AN471" s="147">
        <f t="shared" si="122"/>
        <v>0</v>
      </c>
      <c r="AO471" s="147" t="s">
        <v>5833</v>
      </c>
    </row>
    <row r="472" spans="18:46">
      <c r="R472" s="97" t="s">
        <v>5672</v>
      </c>
      <c r="S472" s="93">
        <v>21697868.203256</v>
      </c>
      <c r="U472" s="19" t="s">
        <v>6393</v>
      </c>
      <c r="V472" s="19">
        <v>26601</v>
      </c>
      <c r="W472" s="115">
        <v>1880.082026</v>
      </c>
      <c r="X472" s="115">
        <f t="shared" si="104"/>
        <v>50012061.973626003</v>
      </c>
      <c r="Y472" s="261" t="s">
        <v>5342</v>
      </c>
      <c r="AI472" s="20">
        <v>199</v>
      </c>
      <c r="AJ472" s="20" t="s">
        <v>5825</v>
      </c>
      <c r="AK472" s="115">
        <v>-204353015</v>
      </c>
      <c r="AL472" s="20">
        <v>0</v>
      </c>
      <c r="AM472" s="20">
        <f t="shared" ref="AM472:AM487" si="123">AL472+AM473</f>
        <v>240</v>
      </c>
      <c r="AN472" s="20">
        <f t="shared" ref="AN472:AN487" si="124">AK472*AM472</f>
        <v>-49044723600</v>
      </c>
      <c r="AO472" s="20" t="s">
        <v>5834</v>
      </c>
    </row>
    <row r="473" spans="18:46">
      <c r="R473" s="97" t="s">
        <v>5673</v>
      </c>
      <c r="S473" s="93">
        <v>25340079.252110001</v>
      </c>
      <c r="U473" s="187" t="s">
        <v>6393</v>
      </c>
      <c r="V473" s="187">
        <v>10637</v>
      </c>
      <c r="W473" s="186">
        <v>1880.082026</v>
      </c>
      <c r="X473" s="186">
        <f t="shared" si="104"/>
        <v>19998432.510561999</v>
      </c>
      <c r="Y473" s="260" t="s">
        <v>6394</v>
      </c>
      <c r="Z473" t="s">
        <v>25</v>
      </c>
      <c r="AI473" s="20">
        <v>200</v>
      </c>
      <c r="AJ473" s="20" t="s">
        <v>5825</v>
      </c>
      <c r="AK473" s="115">
        <v>50000000</v>
      </c>
      <c r="AL473" s="20">
        <v>1</v>
      </c>
      <c r="AM473" s="20">
        <f t="shared" si="123"/>
        <v>240</v>
      </c>
      <c r="AN473" s="20">
        <f t="shared" si="124"/>
        <v>12000000000</v>
      </c>
      <c r="AO473" s="20" t="s">
        <v>5835</v>
      </c>
    </row>
    <row r="474" spans="18:46">
      <c r="R474" s="97" t="s">
        <v>5676</v>
      </c>
      <c r="S474" s="93">
        <v>14780983.183526</v>
      </c>
      <c r="U474" s="19" t="s">
        <v>6399</v>
      </c>
      <c r="V474" s="19">
        <v>306</v>
      </c>
      <c r="W474" s="115">
        <v>1831.8117119999999</v>
      </c>
      <c r="X474" s="115">
        <f t="shared" si="104"/>
        <v>560534.38387200003</v>
      </c>
      <c r="Y474" s="261" t="s">
        <v>5103</v>
      </c>
      <c r="Z474" t="s">
        <v>25</v>
      </c>
      <c r="AI474" s="20">
        <v>201</v>
      </c>
      <c r="AJ474" s="20" t="s">
        <v>5841</v>
      </c>
      <c r="AK474" s="115">
        <v>50000000</v>
      </c>
      <c r="AL474" s="20">
        <v>8</v>
      </c>
      <c r="AM474" s="20">
        <f t="shared" si="123"/>
        <v>239</v>
      </c>
      <c r="AN474" s="20">
        <f t="shared" si="124"/>
        <v>11950000000</v>
      </c>
      <c r="AO474" s="20" t="s">
        <v>5835</v>
      </c>
    </row>
    <row r="475" spans="18:46">
      <c r="R475" s="97" t="s">
        <v>5676</v>
      </c>
      <c r="S475" s="93">
        <v>17804396.448481999</v>
      </c>
      <c r="U475" s="19" t="s">
        <v>6401</v>
      </c>
      <c r="V475" s="19">
        <v>325</v>
      </c>
      <c r="W475" s="115">
        <v>1789.1845169999999</v>
      </c>
      <c r="X475" s="115">
        <f t="shared" si="104"/>
        <v>581484.96802499995</v>
      </c>
      <c r="Y475" s="261" t="s">
        <v>5103</v>
      </c>
      <c r="AA475" t="s">
        <v>25</v>
      </c>
      <c r="AI475" s="20">
        <v>202</v>
      </c>
      <c r="AJ475" s="20" t="s">
        <v>6388</v>
      </c>
      <c r="AK475" s="115">
        <v>30000000</v>
      </c>
      <c r="AL475" s="20">
        <v>2</v>
      </c>
      <c r="AM475" s="20">
        <f t="shared" si="123"/>
        <v>231</v>
      </c>
      <c r="AN475" s="20">
        <f t="shared" si="124"/>
        <v>6930000000</v>
      </c>
      <c r="AO475" s="20" t="s">
        <v>6389</v>
      </c>
    </row>
    <row r="476" spans="18:46">
      <c r="R476" s="97" t="s">
        <v>5679</v>
      </c>
      <c r="S476" s="93">
        <v>260260000</v>
      </c>
      <c r="U476" s="19" t="s">
        <v>6403</v>
      </c>
      <c r="V476" s="19">
        <v>1154</v>
      </c>
      <c r="W476" s="115">
        <v>1851.788857</v>
      </c>
      <c r="X476" s="115">
        <f t="shared" si="104"/>
        <v>2136964.3409779998</v>
      </c>
      <c r="Y476" s="261" t="s">
        <v>5103</v>
      </c>
      <c r="AA476" t="s">
        <v>25</v>
      </c>
      <c r="AI476" s="147">
        <v>203</v>
      </c>
      <c r="AJ476" s="147" t="s">
        <v>6393</v>
      </c>
      <c r="AK476" s="186">
        <v>20000000</v>
      </c>
      <c r="AL476" s="147">
        <v>29</v>
      </c>
      <c r="AM476" s="147">
        <f t="shared" si="123"/>
        <v>229</v>
      </c>
      <c r="AN476" s="147">
        <f t="shared" si="124"/>
        <v>4580000000</v>
      </c>
      <c r="AO476" s="147" t="s">
        <v>6394</v>
      </c>
    </row>
    <row r="477" spans="18:46" ht="30">
      <c r="R477" s="97" t="s">
        <v>5680</v>
      </c>
      <c r="S477" s="93">
        <v>11538335.631417999</v>
      </c>
      <c r="U477" s="19" t="s">
        <v>6403</v>
      </c>
      <c r="V477" s="19">
        <v>3240</v>
      </c>
      <c r="W477" s="115">
        <v>1851.788857</v>
      </c>
      <c r="X477" s="115">
        <f t="shared" si="104"/>
        <v>5999795.8966800002</v>
      </c>
      <c r="Y477" s="261" t="s">
        <v>6404</v>
      </c>
      <c r="AB477" t="s">
        <v>25</v>
      </c>
      <c r="AI477" s="147">
        <v>204</v>
      </c>
      <c r="AJ477" s="147" t="s">
        <v>6423</v>
      </c>
      <c r="AK477" s="186">
        <v>-20000000</v>
      </c>
      <c r="AL477" s="147">
        <v>0</v>
      </c>
      <c r="AM477" s="147">
        <f t="shared" ref="AM477:AM483" si="125">AL477+AM478</f>
        <v>200</v>
      </c>
      <c r="AN477" s="147">
        <f t="shared" ref="AN477:AN483" si="126">AK477*AM477</f>
        <v>-4000000000</v>
      </c>
      <c r="AO477" s="147" t="s">
        <v>6424</v>
      </c>
    </row>
    <row r="478" spans="18:46">
      <c r="R478" s="97" t="s">
        <v>5688</v>
      </c>
      <c r="S478" s="93">
        <v>12429517.767776001</v>
      </c>
      <c r="U478" s="19" t="s">
        <v>6403</v>
      </c>
      <c r="V478" s="19">
        <v>-3240</v>
      </c>
      <c r="W478" s="115">
        <v>1851.788857</v>
      </c>
      <c r="X478" s="115">
        <f t="shared" si="104"/>
        <v>-5999795.8966800002</v>
      </c>
      <c r="Y478" s="261" t="s">
        <v>6405</v>
      </c>
      <c r="AA478" t="s">
        <v>25</v>
      </c>
      <c r="AI478" s="147">
        <v>205</v>
      </c>
      <c r="AJ478" s="147" t="s">
        <v>6423</v>
      </c>
      <c r="AK478" s="186">
        <v>2000000</v>
      </c>
      <c r="AL478" s="147">
        <v>110</v>
      </c>
      <c r="AM478" s="147">
        <f t="shared" si="125"/>
        <v>200</v>
      </c>
      <c r="AN478" s="147">
        <f t="shared" si="126"/>
        <v>400000000</v>
      </c>
      <c r="AO478" s="147" t="s">
        <v>6425</v>
      </c>
      <c r="AT478" t="s">
        <v>25</v>
      </c>
    </row>
    <row r="479" spans="18:46">
      <c r="R479" s="97" t="s">
        <v>5690</v>
      </c>
      <c r="S479" s="93">
        <v>5031176.5087869996</v>
      </c>
      <c r="U479" s="19" t="s">
        <v>6406</v>
      </c>
      <c r="V479" s="19">
        <v>330</v>
      </c>
      <c r="W479" s="115">
        <v>1799.34311</v>
      </c>
      <c r="X479" s="115">
        <f t="shared" si="104"/>
        <v>593783.22629999998</v>
      </c>
      <c r="Y479" s="261" t="s">
        <v>5103</v>
      </c>
      <c r="AB479" t="s">
        <v>25</v>
      </c>
      <c r="AI479" s="147">
        <v>206</v>
      </c>
      <c r="AJ479" s="147" t="s">
        <v>6644</v>
      </c>
      <c r="AK479" s="186">
        <v>5082711</v>
      </c>
      <c r="AL479" s="147">
        <v>89</v>
      </c>
      <c r="AM479" s="147">
        <f t="shared" si="125"/>
        <v>90</v>
      </c>
      <c r="AN479" s="147">
        <f t="shared" si="126"/>
        <v>457443990</v>
      </c>
      <c r="AO479" s="147" t="s">
        <v>6645</v>
      </c>
    </row>
    <row r="480" spans="18:46">
      <c r="R480" s="97" t="s">
        <v>5694</v>
      </c>
      <c r="S480" s="93">
        <v>6822803.9080700008</v>
      </c>
      <c r="U480" s="19" t="s">
        <v>6410</v>
      </c>
      <c r="V480" s="19">
        <v>266</v>
      </c>
      <c r="W480" s="115">
        <v>1764.9246700000001</v>
      </c>
      <c r="X480" s="115">
        <f t="shared" si="104"/>
        <v>469469.96222000004</v>
      </c>
      <c r="Y480" s="261" t="s">
        <v>5103</v>
      </c>
      <c r="Z480" t="s">
        <v>25</v>
      </c>
      <c r="AI480" s="147">
        <v>207</v>
      </c>
      <c r="AJ480" s="147" t="s">
        <v>7087</v>
      </c>
      <c r="AK480" s="186">
        <v>7300000</v>
      </c>
      <c r="AL480" s="147">
        <v>0</v>
      </c>
      <c r="AM480" s="147">
        <f t="shared" si="125"/>
        <v>1</v>
      </c>
      <c r="AN480" s="147">
        <f t="shared" si="126"/>
        <v>7300000</v>
      </c>
      <c r="AO480" s="147" t="s">
        <v>7089</v>
      </c>
    </row>
    <row r="481" spans="18:46">
      <c r="R481" s="97" t="s">
        <v>5703</v>
      </c>
      <c r="S481" s="93">
        <v>330889.73324399994</v>
      </c>
      <c r="U481" s="187" t="s">
        <v>6423</v>
      </c>
      <c r="V481" s="187">
        <v>-10637</v>
      </c>
      <c r="W481" s="186">
        <v>1739.5916549999999</v>
      </c>
      <c r="X481" s="186">
        <f t="shared" si="104"/>
        <v>-18504036.434234999</v>
      </c>
      <c r="Y481" s="260" t="s">
        <v>6426</v>
      </c>
      <c r="Z481" t="s">
        <v>25</v>
      </c>
      <c r="AB481" t="s">
        <v>25</v>
      </c>
      <c r="AI481" s="20">
        <v>208</v>
      </c>
      <c r="AJ481" s="20" t="s">
        <v>7087</v>
      </c>
      <c r="AK481" s="115">
        <v>7000000</v>
      </c>
      <c r="AL481" s="20">
        <v>1</v>
      </c>
      <c r="AM481" s="20">
        <f t="shared" si="125"/>
        <v>1</v>
      </c>
      <c r="AN481" s="20">
        <f t="shared" si="126"/>
        <v>7000000</v>
      </c>
      <c r="AO481" s="20" t="s">
        <v>5835</v>
      </c>
    </row>
    <row r="482" spans="18:46">
      <c r="R482" s="97" t="s">
        <v>5704</v>
      </c>
      <c r="S482" s="93">
        <v>6610318.1610199995</v>
      </c>
      <c r="U482" s="19" t="s">
        <v>6423</v>
      </c>
      <c r="V482" s="19">
        <v>10637</v>
      </c>
      <c r="W482" s="115">
        <v>1739.5916549999999</v>
      </c>
      <c r="X482" s="115">
        <f t="shared" si="104"/>
        <v>18504036.434234999</v>
      </c>
      <c r="Y482" s="261" t="s">
        <v>6427</v>
      </c>
      <c r="AB482" t="s">
        <v>25</v>
      </c>
      <c r="AI482" s="147"/>
      <c r="AJ482" s="147"/>
      <c r="AK482" s="186"/>
      <c r="AL482" s="147"/>
      <c r="AM482" s="147">
        <f t="shared" si="125"/>
        <v>0</v>
      </c>
      <c r="AN482" s="147">
        <f t="shared" si="126"/>
        <v>0</v>
      </c>
      <c r="AO482" s="147"/>
    </row>
    <row r="483" spans="18:46" ht="30">
      <c r="R483" s="97" t="s">
        <v>5706</v>
      </c>
      <c r="S483" s="93">
        <v>710713.17725199996</v>
      </c>
      <c r="U483" s="19" t="s">
        <v>6451</v>
      </c>
      <c r="V483" s="19">
        <v>39478</v>
      </c>
      <c r="W483" s="115">
        <v>1873.903047</v>
      </c>
      <c r="X483" s="115">
        <f t="shared" si="104"/>
        <v>73977944.489465997</v>
      </c>
      <c r="Y483" s="261" t="s">
        <v>6452</v>
      </c>
      <c r="AI483" s="147"/>
      <c r="AJ483" s="147"/>
      <c r="AK483" s="186"/>
      <c r="AL483" s="147"/>
      <c r="AM483" s="147">
        <f t="shared" si="125"/>
        <v>0</v>
      </c>
      <c r="AN483" s="147">
        <f t="shared" si="126"/>
        <v>0</v>
      </c>
      <c r="AO483" s="147"/>
    </row>
    <row r="484" spans="18:46">
      <c r="R484" s="97" t="s">
        <v>5709</v>
      </c>
      <c r="S484" s="93">
        <v>81025</v>
      </c>
      <c r="U484" s="19" t="s">
        <v>6456</v>
      </c>
      <c r="V484" s="19">
        <v>283</v>
      </c>
      <c r="W484" s="115">
        <v>2014.7222959999999</v>
      </c>
      <c r="X484" s="115">
        <f t="shared" si="104"/>
        <v>570166.40976800001</v>
      </c>
      <c r="Y484" s="261" t="s">
        <v>6457</v>
      </c>
      <c r="Z484" t="s">
        <v>25</v>
      </c>
      <c r="AB484" t="s">
        <v>25</v>
      </c>
      <c r="AI484" s="20"/>
      <c r="AJ484" s="20"/>
      <c r="AK484" s="115"/>
      <c r="AL484" s="20"/>
      <c r="AM484" s="20">
        <f t="shared" si="123"/>
        <v>0</v>
      </c>
      <c r="AN484" s="20">
        <f t="shared" si="124"/>
        <v>0</v>
      </c>
      <c r="AO484" s="20"/>
    </row>
    <row r="485" spans="18:46">
      <c r="R485" s="97" t="s">
        <v>5710</v>
      </c>
      <c r="S485" s="93">
        <v>219696.613128</v>
      </c>
      <c r="U485" s="19" t="s">
        <v>6459</v>
      </c>
      <c r="V485" s="19">
        <v>1704</v>
      </c>
      <c r="W485" s="115">
        <v>2104.0605820000001</v>
      </c>
      <c r="X485" s="115">
        <f t="shared" si="104"/>
        <v>3585319.2317280001</v>
      </c>
      <c r="Y485" s="261" t="s">
        <v>5103</v>
      </c>
      <c r="AA485" t="s">
        <v>25</v>
      </c>
      <c r="AB485" t="s">
        <v>25</v>
      </c>
      <c r="AI485" s="20"/>
      <c r="AJ485" s="20"/>
      <c r="AK485" s="115"/>
      <c r="AL485" s="20"/>
      <c r="AM485" s="20">
        <f t="shared" si="123"/>
        <v>0</v>
      </c>
      <c r="AN485" s="20">
        <f t="shared" si="124"/>
        <v>0</v>
      </c>
      <c r="AO485" s="20"/>
    </row>
    <row r="486" spans="18:46">
      <c r="R486" s="97" t="s">
        <v>5711</v>
      </c>
      <c r="S486" s="93">
        <v>6035472.4070199998</v>
      </c>
      <c r="U486" s="19" t="s">
        <v>6462</v>
      </c>
      <c r="V486" s="19">
        <v>324</v>
      </c>
      <c r="W486" s="115">
        <v>2088.5824040000002</v>
      </c>
      <c r="X486" s="115">
        <f t="shared" si="104"/>
        <v>676700.69889600005</v>
      </c>
      <c r="Y486" s="261" t="s">
        <v>5103</v>
      </c>
      <c r="Z486" t="s">
        <v>25</v>
      </c>
      <c r="AA486" t="s">
        <v>25</v>
      </c>
      <c r="AB486" t="s">
        <v>25</v>
      </c>
      <c r="AI486" s="20"/>
      <c r="AJ486" s="20"/>
      <c r="AK486" s="115"/>
      <c r="AL486" s="20"/>
      <c r="AM486" s="20">
        <f t="shared" si="123"/>
        <v>0</v>
      </c>
      <c r="AN486" s="20">
        <f t="shared" si="124"/>
        <v>0</v>
      </c>
      <c r="AO486" s="20"/>
    </row>
    <row r="487" spans="18:46">
      <c r="R487" s="97" t="s">
        <v>5712</v>
      </c>
      <c r="S487" s="93">
        <v>984486.34963200008</v>
      </c>
      <c r="U487" s="19" t="s">
        <v>6470</v>
      </c>
      <c r="V487" s="19">
        <v>538</v>
      </c>
      <c r="W487" s="115">
        <v>2055.3485930000002</v>
      </c>
      <c r="X487" s="115">
        <f t="shared" si="104"/>
        <v>1105777.5430340001</v>
      </c>
      <c r="Y487" s="261" t="s">
        <v>5103</v>
      </c>
      <c r="Z487" t="s">
        <v>25</v>
      </c>
      <c r="AI487" s="97"/>
      <c r="AJ487" s="97"/>
      <c r="AK487" s="115"/>
      <c r="AL487" s="97"/>
      <c r="AM487" s="20">
        <f t="shared" si="123"/>
        <v>0</v>
      </c>
      <c r="AN487" s="20">
        <f t="shared" si="124"/>
        <v>0</v>
      </c>
      <c r="AO487" s="20"/>
    </row>
    <row r="488" spans="18:46">
      <c r="R488" s="97" t="s">
        <v>5722</v>
      </c>
      <c r="S488" s="93">
        <v>2143469.938015</v>
      </c>
      <c r="U488" s="19" t="s">
        <v>6474</v>
      </c>
      <c r="V488" s="19">
        <v>1031</v>
      </c>
      <c r="W488" s="115">
        <v>2245.620621</v>
      </c>
      <c r="X488" s="115">
        <f t="shared" si="104"/>
        <v>2315234.8602510002</v>
      </c>
      <c r="Y488" s="261" t="s">
        <v>5103</v>
      </c>
      <c r="Z488" t="s">
        <v>25</v>
      </c>
      <c r="AB488" t="s">
        <v>25</v>
      </c>
      <c r="AI488" s="97"/>
      <c r="AJ488" s="97"/>
      <c r="AK488" s="115"/>
      <c r="AL488" s="97"/>
      <c r="AM488" s="20">
        <f t="shared" si="119"/>
        <v>0</v>
      </c>
      <c r="AN488" s="20">
        <f t="shared" si="120"/>
        <v>0</v>
      </c>
      <c r="AO488" s="97"/>
    </row>
    <row r="489" spans="18:46">
      <c r="R489" s="97" t="s">
        <v>5723</v>
      </c>
      <c r="S489" s="93">
        <v>3085460.5177150001</v>
      </c>
      <c r="U489" s="19" t="s">
        <v>6476</v>
      </c>
      <c r="V489" s="19">
        <v>1804</v>
      </c>
      <c r="W489" s="115">
        <v>2292.882846</v>
      </c>
      <c r="X489" s="115">
        <f t="shared" si="104"/>
        <v>4136360.6541840001</v>
      </c>
      <c r="Y489" s="261" t="s">
        <v>5103</v>
      </c>
      <c r="AB489" t="s">
        <v>25</v>
      </c>
      <c r="AI489" s="97"/>
      <c r="AJ489" s="97"/>
      <c r="AK489" s="93">
        <f>SUM(AK292:AK488)</f>
        <v>221175387.84822798</v>
      </c>
      <c r="AL489" s="97"/>
      <c r="AM489" s="97"/>
      <c r="AN489" s="97">
        <f>SUM(AN292:AN488)</f>
        <v>212966705974</v>
      </c>
      <c r="AO489" s="93">
        <f>AN489*AO278/31</f>
        <v>114500518.98285995</v>
      </c>
    </row>
    <row r="490" spans="18:46">
      <c r="R490" s="97" t="s">
        <v>5724</v>
      </c>
      <c r="S490" s="93">
        <v>8261456.790906</v>
      </c>
      <c r="U490" s="19" t="s">
        <v>6478</v>
      </c>
      <c r="V490" s="19">
        <v>1348</v>
      </c>
      <c r="W490" s="115">
        <v>2252.0137020000002</v>
      </c>
      <c r="X490" s="115">
        <f t="shared" si="104"/>
        <v>3035714.4702960001</v>
      </c>
      <c r="Y490" s="261" t="s">
        <v>5103</v>
      </c>
      <c r="AC490" t="s">
        <v>25</v>
      </c>
      <c r="AK490" t="s">
        <v>4041</v>
      </c>
      <c r="AN490" t="s">
        <v>284</v>
      </c>
      <c r="AO490" t="s">
        <v>926</v>
      </c>
    </row>
    <row r="491" spans="18:46">
      <c r="R491" s="97" t="s">
        <v>5728</v>
      </c>
      <c r="S491" s="93">
        <v>6572373.7593120001</v>
      </c>
      <c r="U491" s="19" t="s">
        <v>6486</v>
      </c>
      <c r="V491" s="19">
        <v>-76536</v>
      </c>
      <c r="W491" s="115">
        <v>2350.6086869999999</v>
      </c>
      <c r="X491" s="115">
        <f t="shared" si="104"/>
        <v>-179906186.46823201</v>
      </c>
      <c r="Y491" s="261" t="s">
        <v>6489</v>
      </c>
      <c r="AT491" t="s">
        <v>25</v>
      </c>
    </row>
    <row r="492" spans="18:46">
      <c r="R492" s="97" t="s">
        <v>5729</v>
      </c>
      <c r="S492" s="93">
        <v>2893243.5730909999</v>
      </c>
      <c r="U492" s="19" t="s">
        <v>6492</v>
      </c>
      <c r="V492" s="19">
        <v>145</v>
      </c>
      <c r="W492" s="115">
        <v>2379.7882030000001</v>
      </c>
      <c r="X492" s="115">
        <f t="shared" si="104"/>
        <v>345069.28943499998</v>
      </c>
      <c r="Y492" s="261" t="s">
        <v>5103</v>
      </c>
      <c r="Z492" t="s">
        <v>25</v>
      </c>
      <c r="AB492" t="s">
        <v>25</v>
      </c>
      <c r="AJ492" t="s">
        <v>4043</v>
      </c>
      <c r="AK492" s="112">
        <f>AK489+AO489</f>
        <v>335675906.83108795</v>
      </c>
      <c r="AN492" t="s">
        <v>25</v>
      </c>
    </row>
    <row r="493" spans="18:46">
      <c r="R493" s="97" t="s">
        <v>5734</v>
      </c>
      <c r="S493" s="93">
        <v>94992058.939007998</v>
      </c>
      <c r="U493" s="187" t="s">
        <v>6492</v>
      </c>
      <c r="V493" s="187">
        <v>55</v>
      </c>
      <c r="W493" s="186">
        <v>2379.7882030000001</v>
      </c>
      <c r="X493" s="186">
        <f t="shared" si="104"/>
        <v>130888.351165</v>
      </c>
      <c r="Y493" s="260" t="s">
        <v>6578</v>
      </c>
      <c r="AA493" t="s">
        <v>25</v>
      </c>
      <c r="AJ493" t="s">
        <v>4046</v>
      </c>
      <c r="AK493" s="112">
        <f>SUM(N20:N33)</f>
        <v>4300530556</v>
      </c>
    </row>
    <row r="494" spans="18:46">
      <c r="R494" s="97" t="s">
        <v>5739</v>
      </c>
      <c r="S494" s="93">
        <v>275021.925965</v>
      </c>
      <c r="U494" s="19" t="s">
        <v>6492</v>
      </c>
      <c r="V494" s="19">
        <v>53</v>
      </c>
      <c r="W494" s="115">
        <v>2379.7882030000001</v>
      </c>
      <c r="X494" s="115">
        <f t="shared" si="104"/>
        <v>126128.77475900001</v>
      </c>
      <c r="Y494" s="261" t="s">
        <v>6579</v>
      </c>
      <c r="AA494" t="s">
        <v>25</v>
      </c>
      <c r="AJ494" t="s">
        <v>4116</v>
      </c>
      <c r="AK494" s="112">
        <f>AK493-AK489</f>
        <v>4079355168.151772</v>
      </c>
    </row>
    <row r="495" spans="18:46">
      <c r="R495" s="97" t="s">
        <v>5749</v>
      </c>
      <c r="S495" s="93">
        <v>327451.9203</v>
      </c>
      <c r="U495" s="19" t="s">
        <v>6584</v>
      </c>
      <c r="V495" s="19">
        <v>243</v>
      </c>
      <c r="W495" s="115">
        <v>2336.5653440000001</v>
      </c>
      <c r="X495" s="115">
        <f t="shared" si="104"/>
        <v>567785.37859199999</v>
      </c>
      <c r="Y495" s="261" t="s">
        <v>5103</v>
      </c>
      <c r="AJ495" t="s">
        <v>926</v>
      </c>
      <c r="AK495" s="112">
        <f>AO489</f>
        <v>114500518.98285995</v>
      </c>
    </row>
    <row r="496" spans="18:46">
      <c r="R496" s="97" t="s">
        <v>5757</v>
      </c>
      <c r="S496" s="93">
        <v>260081.94096800001</v>
      </c>
      <c r="U496" s="19" t="s">
        <v>6595</v>
      </c>
      <c r="V496" s="19">
        <v>81</v>
      </c>
      <c r="W496" s="115">
        <v>2341.77675</v>
      </c>
      <c r="X496" s="115">
        <f t="shared" si="104"/>
        <v>189683.91675</v>
      </c>
      <c r="Y496" s="261" t="s">
        <v>5103</v>
      </c>
      <c r="Z496" t="s">
        <v>25</v>
      </c>
      <c r="AC496" t="s">
        <v>25</v>
      </c>
      <c r="AJ496" t="s">
        <v>4047</v>
      </c>
      <c r="AK496" s="112">
        <f>AK494-AK495</f>
        <v>3964854649.1689119</v>
      </c>
      <c r="AN496" t="s">
        <v>25</v>
      </c>
      <c r="AO496" t="s">
        <v>25</v>
      </c>
    </row>
    <row r="497" spans="18:41">
      <c r="R497" s="97" t="s">
        <v>5758</v>
      </c>
      <c r="S497" s="93">
        <v>2909284.5308940001</v>
      </c>
      <c r="U497" s="187" t="s">
        <v>6596</v>
      </c>
      <c r="V497" s="187">
        <v>21767</v>
      </c>
      <c r="W497" s="186">
        <v>2297.060872</v>
      </c>
      <c r="X497" s="186">
        <f t="shared" si="104"/>
        <v>50000124.000823997</v>
      </c>
      <c r="Y497" s="260" t="s">
        <v>6598</v>
      </c>
      <c r="AM497" t="s">
        <v>25</v>
      </c>
      <c r="AN497" t="s">
        <v>25</v>
      </c>
      <c r="AO497" t="s">
        <v>25</v>
      </c>
    </row>
    <row r="498" spans="18:41">
      <c r="R498" s="97" t="s">
        <v>5759</v>
      </c>
      <c r="S498" s="93">
        <v>37723205.094084002</v>
      </c>
      <c r="U498" s="19" t="s">
        <v>6596</v>
      </c>
      <c r="V498" s="19">
        <v>4353</v>
      </c>
      <c r="W498" s="115">
        <v>2297.060872</v>
      </c>
      <c r="X498" s="115">
        <f t="shared" si="104"/>
        <v>9999105.9758160003</v>
      </c>
      <c r="Y498" s="261" t="s">
        <v>6599</v>
      </c>
      <c r="AA498" t="s">
        <v>25</v>
      </c>
    </row>
    <row r="499" spans="18:41">
      <c r="R499" s="97" t="s">
        <v>5760</v>
      </c>
      <c r="S499" s="93">
        <v>1500094.75168</v>
      </c>
      <c r="U499" s="19" t="s">
        <v>6596</v>
      </c>
      <c r="V499" s="19">
        <v>226</v>
      </c>
      <c r="W499" s="115">
        <v>2297.060872</v>
      </c>
      <c r="X499" s="115">
        <f t="shared" si="104"/>
        <v>519135.75707200001</v>
      </c>
      <c r="Y499" s="261" t="s">
        <v>5103</v>
      </c>
      <c r="AB499" t="s">
        <v>25</v>
      </c>
      <c r="AC499" t="s">
        <v>25</v>
      </c>
    </row>
    <row r="500" spans="18:41">
      <c r="R500" s="97" t="s">
        <v>5762</v>
      </c>
      <c r="S500" s="93">
        <v>7230628.4378079996</v>
      </c>
      <c r="U500" s="19" t="s">
        <v>6602</v>
      </c>
      <c r="V500" s="19">
        <v>1416</v>
      </c>
      <c r="W500" s="115">
        <v>2405.6595360000001</v>
      </c>
      <c r="X500" s="115">
        <f t="shared" si="104"/>
        <v>3406413.9029760002</v>
      </c>
      <c r="Y500" s="261" t="s">
        <v>5103</v>
      </c>
      <c r="AA500" t="s">
        <v>25</v>
      </c>
      <c r="AO500" t="s">
        <v>25</v>
      </c>
    </row>
    <row r="501" spans="18:41">
      <c r="R501" s="97" t="s">
        <v>5763</v>
      </c>
      <c r="S501" s="93">
        <v>29767389.390390001</v>
      </c>
      <c r="U501" s="19" t="s">
        <v>6604</v>
      </c>
      <c r="V501" s="19">
        <v>172</v>
      </c>
      <c r="W501" s="115">
        <v>2529.2810939999999</v>
      </c>
      <c r="X501" s="115">
        <f t="shared" si="104"/>
        <v>435036.348168</v>
      </c>
      <c r="Y501" s="261" t="s">
        <v>5103</v>
      </c>
      <c r="AA501" t="s">
        <v>25</v>
      </c>
      <c r="AC501" t="s">
        <v>25</v>
      </c>
      <c r="AO501" t="s">
        <v>25</v>
      </c>
    </row>
    <row r="502" spans="18:41">
      <c r="R502" s="97" t="s">
        <v>5765</v>
      </c>
      <c r="S502" s="93">
        <v>151560.25597</v>
      </c>
      <c r="U502" s="19" t="s">
        <v>6613</v>
      </c>
      <c r="V502" s="19">
        <v>-3909</v>
      </c>
      <c r="W502" s="115">
        <v>2881.8852230000002</v>
      </c>
      <c r="X502" s="115">
        <f>V502*W502</f>
        <v>-11265289.336707002</v>
      </c>
      <c r="Y502" s="261" t="s">
        <v>6614</v>
      </c>
    </row>
    <row r="503" spans="18:41">
      <c r="R503" s="97" t="s">
        <v>5768</v>
      </c>
      <c r="S503" s="93">
        <v>481318.88078800001</v>
      </c>
      <c r="U503" s="187" t="s">
        <v>6613</v>
      </c>
      <c r="V503" s="187">
        <v>-932</v>
      </c>
      <c r="W503" s="186">
        <v>2881.8852230000002</v>
      </c>
      <c r="X503" s="186">
        <f t="shared" si="104"/>
        <v>-2685917.0278360001</v>
      </c>
      <c r="Y503" s="260" t="s">
        <v>6615</v>
      </c>
      <c r="AB503" t="s">
        <v>25</v>
      </c>
    </row>
    <row r="504" spans="18:41">
      <c r="R504" s="97" t="s">
        <v>5780</v>
      </c>
      <c r="S504" s="93">
        <v>146277.56820000001</v>
      </c>
      <c r="U504" s="19" t="s">
        <v>6625</v>
      </c>
      <c r="V504" s="19">
        <v>33</v>
      </c>
      <c r="W504" s="115">
        <v>2905.0202519999998</v>
      </c>
      <c r="X504" s="115">
        <f t="shared" si="104"/>
        <v>95865.668315999996</v>
      </c>
      <c r="Y504" s="261" t="s">
        <v>4406</v>
      </c>
    </row>
    <row r="505" spans="18:41">
      <c r="R505" s="97" t="s">
        <v>5783</v>
      </c>
      <c r="S505" s="93">
        <v>424693.40162399999</v>
      </c>
      <c r="U505" s="187" t="s">
        <v>6644</v>
      </c>
      <c r="V505" s="187">
        <v>10421</v>
      </c>
      <c r="W505" s="186">
        <v>2780.2819920000002</v>
      </c>
      <c r="X505" s="186">
        <f t="shared" si="104"/>
        <v>28973318.638632003</v>
      </c>
      <c r="Y505" s="260" t="s">
        <v>6646</v>
      </c>
    </row>
    <row r="506" spans="18:41">
      <c r="R506" s="97" t="s">
        <v>5785</v>
      </c>
      <c r="S506" s="93">
        <v>558320.40202399995</v>
      </c>
      <c r="U506" s="19" t="s">
        <v>6644</v>
      </c>
      <c r="V506" s="19">
        <v>835</v>
      </c>
      <c r="W506" s="115">
        <v>2780.2819920000002</v>
      </c>
      <c r="X506" s="115">
        <f t="shared" si="104"/>
        <v>2321535.4633200001</v>
      </c>
      <c r="Y506" s="261" t="s">
        <v>5103</v>
      </c>
    </row>
    <row r="507" spans="18:41">
      <c r="R507" s="97" t="s">
        <v>5807</v>
      </c>
      <c r="S507" s="93">
        <v>207642.22201140001</v>
      </c>
      <c r="U507" s="19" t="s">
        <v>6927</v>
      </c>
      <c r="V507" s="19">
        <v>410</v>
      </c>
      <c r="W507" s="115">
        <v>2678.4068379999999</v>
      </c>
      <c r="X507" s="115">
        <f t="shared" si="104"/>
        <v>1098146.8035800001</v>
      </c>
      <c r="Y507" s="261" t="s">
        <v>5103</v>
      </c>
    </row>
    <row r="508" spans="18:41">
      <c r="R508" s="97" t="s">
        <v>5807</v>
      </c>
      <c r="S508" s="93">
        <v>33832510.64875</v>
      </c>
      <c r="U508" s="19" t="s">
        <v>6933</v>
      </c>
      <c r="V508" s="19">
        <v>201</v>
      </c>
      <c r="W508" s="115">
        <v>2688.6794049999999</v>
      </c>
      <c r="X508" s="115">
        <f t="shared" si="104"/>
        <v>540424.560405</v>
      </c>
      <c r="Y508" s="261" t="s">
        <v>5103</v>
      </c>
      <c r="AA508" t="s">
        <v>25</v>
      </c>
    </row>
    <row r="509" spans="18:41">
      <c r="R509" s="97" t="s">
        <v>5818</v>
      </c>
      <c r="S509" s="93">
        <v>637977.33504399995</v>
      </c>
      <c r="U509" s="19" t="s">
        <v>6935</v>
      </c>
      <c r="V509" s="19">
        <v>1133</v>
      </c>
      <c r="W509" s="115">
        <v>2455.1740869999999</v>
      </c>
      <c r="X509" s="115">
        <f t="shared" si="104"/>
        <v>2781712.2405709997</v>
      </c>
      <c r="Y509" s="261" t="s">
        <v>5103</v>
      </c>
      <c r="AA509" t="s">
        <v>25</v>
      </c>
      <c r="AB509" t="s">
        <v>25</v>
      </c>
    </row>
    <row r="510" spans="18:41" ht="30">
      <c r="R510" s="97" t="s">
        <v>5819</v>
      </c>
      <c r="S510" s="93">
        <v>466552.25632400002</v>
      </c>
      <c r="U510" s="19" t="s">
        <v>6938</v>
      </c>
      <c r="V510" s="19">
        <v>59</v>
      </c>
      <c r="W510" s="115">
        <v>2706.4553110000002</v>
      </c>
      <c r="X510" s="115">
        <f t="shared" si="104"/>
        <v>159680.86334900002</v>
      </c>
      <c r="Y510" s="261" t="s">
        <v>6939</v>
      </c>
      <c r="Z510" t="s">
        <v>25</v>
      </c>
      <c r="AA510" t="s">
        <v>25</v>
      </c>
      <c r="AB510" t="s">
        <v>25</v>
      </c>
    </row>
    <row r="511" spans="18:41">
      <c r="R511" s="97" t="s">
        <v>5820</v>
      </c>
      <c r="S511" s="93">
        <v>149316.98805000001</v>
      </c>
      <c r="U511" s="19" t="s">
        <v>6964</v>
      </c>
      <c r="V511" s="19">
        <v>4795</v>
      </c>
      <c r="W511" s="115">
        <v>2908.4025580000002</v>
      </c>
      <c r="X511" s="115">
        <f t="shared" si="104"/>
        <v>13945790.265610002</v>
      </c>
      <c r="Y511" s="261" t="s">
        <v>5344</v>
      </c>
    </row>
    <row r="512" spans="18:41">
      <c r="R512" s="97" t="s">
        <v>5820</v>
      </c>
      <c r="S512" s="93">
        <v>189134.85153000001</v>
      </c>
      <c r="U512" s="19" t="s">
        <v>6966</v>
      </c>
      <c r="V512" s="19">
        <v>164</v>
      </c>
      <c r="W512" s="115">
        <v>2792.1636870000002</v>
      </c>
      <c r="X512" s="115">
        <f t="shared" si="104"/>
        <v>457914.84466800001</v>
      </c>
      <c r="Y512" s="261" t="s">
        <v>5344</v>
      </c>
    </row>
    <row r="513" spans="15:28">
      <c r="P513" t="s">
        <v>25</v>
      </c>
      <c r="R513" s="97" t="s">
        <v>5822</v>
      </c>
      <c r="S513" s="93">
        <v>564888.82799599995</v>
      </c>
      <c r="U513" s="19" t="s">
        <v>6968</v>
      </c>
      <c r="V513" s="19">
        <v>352</v>
      </c>
      <c r="W513" s="115">
        <v>2768.6657369999998</v>
      </c>
      <c r="X513" s="115">
        <f t="shared" si="104"/>
        <v>974570.33942399989</v>
      </c>
      <c r="Y513" s="261" t="s">
        <v>5344</v>
      </c>
    </row>
    <row r="514" spans="15:28">
      <c r="R514" s="97" t="s">
        <v>5825</v>
      </c>
      <c r="S514" s="93">
        <v>8762299.2047910001</v>
      </c>
      <c r="U514" s="19" t="s">
        <v>6970</v>
      </c>
      <c r="V514" s="19">
        <v>283</v>
      </c>
      <c r="W514" s="115">
        <v>2636.7439079999999</v>
      </c>
      <c r="X514" s="115">
        <f t="shared" si="104"/>
        <v>746198.52596400003</v>
      </c>
      <c r="Y514" s="261" t="s">
        <v>5344</v>
      </c>
      <c r="Z514" t="s">
        <v>25</v>
      </c>
    </row>
    <row r="515" spans="15:28">
      <c r="R515" s="97" t="s">
        <v>5825</v>
      </c>
      <c r="S515" s="93">
        <v>-341847876.93843603</v>
      </c>
      <c r="U515" s="19" t="s">
        <v>6974</v>
      </c>
      <c r="V515" s="19">
        <v>154</v>
      </c>
      <c r="W515" s="115">
        <v>2702</v>
      </c>
      <c r="X515" s="115">
        <f t="shared" si="104"/>
        <v>416108</v>
      </c>
      <c r="Y515" s="261" t="s">
        <v>5344</v>
      </c>
      <c r="Z515" t="s">
        <v>25</v>
      </c>
      <c r="AA515" t="s">
        <v>25</v>
      </c>
    </row>
    <row r="516" spans="15:28">
      <c r="R516" s="97" t="s">
        <v>5857</v>
      </c>
      <c r="S516" s="93">
        <v>259993.58394100002</v>
      </c>
      <c r="U516" s="19" t="s">
        <v>6989</v>
      </c>
      <c r="V516" s="19">
        <v>135</v>
      </c>
      <c r="W516" s="115">
        <v>2678.6709300000002</v>
      </c>
      <c r="X516" s="115">
        <f t="shared" si="104"/>
        <v>361620.57555000001</v>
      </c>
      <c r="Y516" s="261" t="s">
        <v>5344</v>
      </c>
      <c r="AA516" t="s">
        <v>25</v>
      </c>
    </row>
    <row r="517" spans="15:28">
      <c r="R517" s="97" t="s">
        <v>5858</v>
      </c>
      <c r="S517" s="93">
        <v>269955.31205999997</v>
      </c>
      <c r="U517" s="19" t="s">
        <v>6990</v>
      </c>
      <c r="V517" s="19">
        <v>291</v>
      </c>
      <c r="W517" s="115">
        <v>2616.1873500000002</v>
      </c>
      <c r="X517" s="115">
        <f t="shared" si="104"/>
        <v>761310.51884999999</v>
      </c>
      <c r="Y517" s="261" t="s">
        <v>5344</v>
      </c>
      <c r="AA517" t="s">
        <v>25</v>
      </c>
    </row>
    <row r="518" spans="15:28">
      <c r="R518" s="97" t="s">
        <v>6399</v>
      </c>
      <c r="S518" s="93">
        <v>560534.38387200003</v>
      </c>
      <c r="U518" s="19" t="s">
        <v>6993</v>
      </c>
      <c r="V518" s="19">
        <v>1194</v>
      </c>
      <c r="W518" s="115">
        <v>2552.0103049999998</v>
      </c>
      <c r="X518" s="115">
        <f t="shared" si="104"/>
        <v>3047100.3041699999</v>
      </c>
      <c r="Y518" s="261" t="s">
        <v>5344</v>
      </c>
      <c r="Z518" t="s">
        <v>25</v>
      </c>
      <c r="AA518" t="s">
        <v>25</v>
      </c>
    </row>
    <row r="519" spans="15:28">
      <c r="R519" s="97" t="s">
        <v>6401</v>
      </c>
      <c r="S519" s="93">
        <v>581484.96802499995</v>
      </c>
      <c r="U519" s="19" t="s">
        <v>6996</v>
      </c>
      <c r="V519" s="19">
        <v>928</v>
      </c>
      <c r="W519" s="115">
        <v>2626.1621239999999</v>
      </c>
      <c r="X519" s="115">
        <f t="shared" si="104"/>
        <v>2437078.451072</v>
      </c>
      <c r="Y519" s="261" t="s">
        <v>5344</v>
      </c>
    </row>
    <row r="520" spans="15:28">
      <c r="R520" s="97" t="s">
        <v>6403</v>
      </c>
      <c r="S520" s="93">
        <v>2136964.3409779998</v>
      </c>
      <c r="U520" s="187" t="s">
        <v>7054</v>
      </c>
      <c r="V520" s="187">
        <v>-15181</v>
      </c>
      <c r="W520" s="186">
        <v>2675.3319820000002</v>
      </c>
      <c r="X520" s="186">
        <f t="shared" si="104"/>
        <v>-40614214.818742</v>
      </c>
      <c r="Y520" s="260" t="s">
        <v>7055</v>
      </c>
      <c r="AB520" t="s">
        <v>25</v>
      </c>
    </row>
    <row r="521" spans="15:28">
      <c r="R521" s="97" t="s">
        <v>6406</v>
      </c>
      <c r="S521" s="93">
        <v>593783.22629999998</v>
      </c>
      <c r="U521" s="19" t="s">
        <v>7081</v>
      </c>
      <c r="V521" s="19">
        <v>3122</v>
      </c>
      <c r="W521" s="115">
        <v>2481.626972</v>
      </c>
      <c r="X521" s="115">
        <f t="shared" si="104"/>
        <v>7747639.4065840002</v>
      </c>
      <c r="Y521" s="261" t="s">
        <v>5344</v>
      </c>
      <c r="AB521" t="s">
        <v>5533</v>
      </c>
    </row>
    <row r="522" spans="15:28">
      <c r="R522" s="97" t="s">
        <v>6410</v>
      </c>
      <c r="S522" s="93">
        <v>469469.96222000004</v>
      </c>
      <c r="U522" s="19" t="s">
        <v>7083</v>
      </c>
      <c r="V522" s="19">
        <v>2209</v>
      </c>
      <c r="W522" s="115">
        <v>2528.2563839999998</v>
      </c>
      <c r="X522" s="115">
        <f t="shared" si="104"/>
        <v>5584918.3522559991</v>
      </c>
      <c r="Y522" s="261" t="s">
        <v>5344</v>
      </c>
      <c r="Z522" t="s">
        <v>25</v>
      </c>
    </row>
    <row r="523" spans="15:28">
      <c r="R523" s="97" t="s">
        <v>6451</v>
      </c>
      <c r="S523" s="93">
        <v>73977944.489465997</v>
      </c>
      <c r="U523" s="187" t="s">
        <v>7087</v>
      </c>
      <c r="V523" s="187">
        <v>2977</v>
      </c>
      <c r="W523" s="186">
        <v>2451.5674020000001</v>
      </c>
      <c r="X523" s="186">
        <f t="shared" si="104"/>
        <v>7298316.1557539999</v>
      </c>
      <c r="Y523" s="260" t="s">
        <v>1069</v>
      </c>
      <c r="Z523" t="s">
        <v>25</v>
      </c>
    </row>
    <row r="524" spans="15:28">
      <c r="O524" s="112"/>
      <c r="R524" s="97" t="s">
        <v>6456</v>
      </c>
      <c r="S524" s="93">
        <v>570166.40976800001</v>
      </c>
      <c r="U524" s="19" t="s">
        <v>7087</v>
      </c>
      <c r="V524" s="19">
        <v>2857</v>
      </c>
      <c r="W524" s="115">
        <v>2451.5674020000001</v>
      </c>
      <c r="X524" s="115">
        <f t="shared" si="104"/>
        <v>7004128.0675140005</v>
      </c>
      <c r="Y524" s="261" t="s">
        <v>743</v>
      </c>
    </row>
    <row r="525" spans="15:28">
      <c r="R525" s="97" t="s">
        <v>6459</v>
      </c>
      <c r="S525" s="93">
        <v>3585319.2317280001</v>
      </c>
      <c r="U525" s="19" t="s">
        <v>7087</v>
      </c>
      <c r="V525" s="19">
        <v>234</v>
      </c>
      <c r="W525" s="115">
        <v>2451.5674020000001</v>
      </c>
      <c r="X525" s="115">
        <f t="shared" si="104"/>
        <v>573666.77206800005</v>
      </c>
      <c r="Y525" s="261" t="s">
        <v>5103</v>
      </c>
      <c r="Z525" t="s">
        <v>25</v>
      </c>
    </row>
    <row r="526" spans="15:28">
      <c r="R526" s="97" t="s">
        <v>6462</v>
      </c>
      <c r="S526" s="93">
        <v>676700.69889600005</v>
      </c>
      <c r="U526" s="19"/>
      <c r="V526" s="19"/>
      <c r="W526" s="115"/>
      <c r="X526" s="115">
        <f t="shared" si="104"/>
        <v>0</v>
      </c>
      <c r="Y526" s="261"/>
      <c r="AA526" t="s">
        <v>25</v>
      </c>
    </row>
    <row r="527" spans="15:28">
      <c r="R527" s="97" t="s">
        <v>6470</v>
      </c>
      <c r="S527" s="93">
        <v>1105777.5430340001</v>
      </c>
      <c r="U527" s="19"/>
      <c r="V527" s="19"/>
      <c r="W527" s="115"/>
      <c r="X527" s="115">
        <f t="shared" si="104"/>
        <v>0</v>
      </c>
      <c r="Y527" s="261"/>
    </row>
    <row r="528" spans="15:28">
      <c r="R528" s="97" t="s">
        <v>6474</v>
      </c>
      <c r="S528" s="93">
        <v>2315234.8602510002</v>
      </c>
      <c r="U528" s="97"/>
      <c r="V528" s="166"/>
      <c r="W528" s="111"/>
      <c r="X528" s="115">
        <f t="shared" si="104"/>
        <v>0</v>
      </c>
      <c r="Y528" s="97"/>
    </row>
    <row r="529" spans="18:28">
      <c r="R529" s="97" t="s">
        <v>6476</v>
      </c>
      <c r="S529" s="93">
        <v>4136360.6541840001</v>
      </c>
      <c r="U529" s="166"/>
      <c r="V529" s="166">
        <f>SUM(V168:V528)</f>
        <v>4321009</v>
      </c>
      <c r="W529" s="97"/>
      <c r="X529" s="97"/>
      <c r="Y529" s="97"/>
      <c r="Z529" t="s">
        <v>25</v>
      </c>
    </row>
    <row r="530" spans="18:28">
      <c r="R530" s="97" t="s">
        <v>6478</v>
      </c>
      <c r="S530" s="93">
        <v>3035714.4702960001</v>
      </c>
      <c r="U530" s="97"/>
      <c r="V530" s="97" t="s">
        <v>6</v>
      </c>
      <c r="W530" s="97"/>
      <c r="X530" s="97"/>
      <c r="Y530" s="97"/>
      <c r="AB530" t="s">
        <v>25</v>
      </c>
    </row>
    <row r="531" spans="18:28">
      <c r="R531" s="97" t="s">
        <v>6486</v>
      </c>
      <c r="S531" s="93">
        <v>-179906186.46823201</v>
      </c>
      <c r="U531" s="197" t="s">
        <v>4433</v>
      </c>
    </row>
    <row r="532" spans="18:28">
      <c r="R532" s="97" t="s">
        <v>6492</v>
      </c>
      <c r="S532" s="93">
        <v>345069.28943499998</v>
      </c>
      <c r="U532" s="196">
        <f>S184/V529</f>
        <v>2485.0639922295927</v>
      </c>
      <c r="Y532" t="s">
        <v>25</v>
      </c>
    </row>
    <row r="533" spans="18:28">
      <c r="R533" s="97" t="s">
        <v>6584</v>
      </c>
      <c r="S533" s="93">
        <v>567785.37859199999</v>
      </c>
      <c r="X533" s="112"/>
    </row>
    <row r="534" spans="18:28">
      <c r="R534" s="97" t="s">
        <v>6595</v>
      </c>
      <c r="S534" s="93">
        <v>189683.91675</v>
      </c>
      <c r="V534" s="94" t="s">
        <v>267</v>
      </c>
      <c r="W534" t="s">
        <v>4434</v>
      </c>
      <c r="Y534" t="s">
        <v>25</v>
      </c>
    </row>
    <row r="535" spans="18:28">
      <c r="R535" s="97" t="s">
        <v>6596</v>
      </c>
      <c r="S535" s="93">
        <v>10000000</v>
      </c>
      <c r="U535" s="112"/>
      <c r="V535" s="93">
        <v>-573306</v>
      </c>
      <c r="W535">
        <f>V535/U532</f>
        <v>-230.70069897299965</v>
      </c>
      <c r="Y535" t="s">
        <v>25</v>
      </c>
    </row>
    <row r="536" spans="18:28">
      <c r="R536" s="97" t="s">
        <v>6596</v>
      </c>
      <c r="S536" s="93">
        <v>519135.75707200001</v>
      </c>
      <c r="U536" t="s">
        <v>25</v>
      </c>
      <c r="Y536" t="s">
        <v>25</v>
      </c>
    </row>
    <row r="537" spans="18:28">
      <c r="R537" s="97" t="s">
        <v>6602</v>
      </c>
      <c r="S537" s="93">
        <v>3406413.9029760002</v>
      </c>
      <c r="U537" t="s">
        <v>25</v>
      </c>
      <c r="V537" s="94" t="s">
        <v>25</v>
      </c>
      <c r="W537" s="22"/>
      <c r="X537" s="213"/>
      <c r="Y537" s="270" t="s">
        <v>25</v>
      </c>
    </row>
    <row r="538" spans="18:28">
      <c r="R538" s="97" t="s">
        <v>6604</v>
      </c>
      <c r="S538" s="93">
        <v>435036.348168</v>
      </c>
      <c r="W538" t="s">
        <v>25</v>
      </c>
      <c r="X538" s="94" t="s">
        <v>25</v>
      </c>
      <c r="Y538" t="s">
        <v>25</v>
      </c>
    </row>
    <row r="539" spans="18:28">
      <c r="R539" s="97" t="s">
        <v>6644</v>
      </c>
      <c r="S539" s="93">
        <v>2321535.4633200001</v>
      </c>
      <c r="X539" s="112"/>
      <c r="Y539" t="s">
        <v>25</v>
      </c>
    </row>
    <row r="540" spans="18:28">
      <c r="R540" s="97" t="s">
        <v>6927</v>
      </c>
      <c r="S540" s="93">
        <v>1098146.8035800001</v>
      </c>
      <c r="U540" s="22"/>
      <c r="W540" s="213"/>
    </row>
    <row r="541" spans="18:28">
      <c r="R541" s="97" t="s">
        <v>6933</v>
      </c>
      <c r="S541" s="93">
        <v>540424.560405</v>
      </c>
      <c r="U541" s="22"/>
      <c r="X541" s="270"/>
    </row>
    <row r="542" spans="18:28">
      <c r="R542" s="97" t="s">
        <v>6935</v>
      </c>
      <c r="S542" s="93">
        <v>2781712.2405709997</v>
      </c>
    </row>
    <row r="543" spans="18:28">
      <c r="R543" s="97" t="s">
        <v>6938</v>
      </c>
      <c r="S543" s="93">
        <v>159680.86334900002</v>
      </c>
    </row>
    <row r="544" spans="18:28">
      <c r="R544" s="97" t="s">
        <v>6964</v>
      </c>
      <c r="S544" s="93">
        <v>13945790.265610002</v>
      </c>
      <c r="U544" s="97" t="s">
        <v>4435</v>
      </c>
      <c r="V544" s="97" t="s">
        <v>4416</v>
      </c>
      <c r="W544" s="97" t="s">
        <v>936</v>
      </c>
      <c r="X544" s="415"/>
    </row>
    <row r="545" spans="18:25">
      <c r="R545" s="97" t="s">
        <v>6966</v>
      </c>
      <c r="S545" s="93">
        <v>457914.84466800001</v>
      </c>
      <c r="U545" s="93">
        <f>T237+S308+S562</f>
        <v>2389966197.6909523</v>
      </c>
      <c r="V545" s="93">
        <f>S184</f>
        <v>10737983876</v>
      </c>
      <c r="W545" s="93">
        <f>V545-U545</f>
        <v>8348017678.3090477</v>
      </c>
    </row>
    <row r="546" spans="18:25">
      <c r="R546" s="97" t="s">
        <v>6968</v>
      </c>
      <c r="S546" s="93">
        <v>974570.33942399989</v>
      </c>
      <c r="X546" s="94" t="s">
        <v>25</v>
      </c>
    </row>
    <row r="547" spans="18:25">
      <c r="R547" s="97" t="s">
        <v>6970</v>
      </c>
      <c r="S547" s="93">
        <v>746198.52596400003</v>
      </c>
    </row>
    <row r="548" spans="18:25">
      <c r="R548" s="97" t="s">
        <v>6974</v>
      </c>
      <c r="S548" s="93">
        <v>416108</v>
      </c>
      <c r="U548" s="112"/>
      <c r="W548" s="112"/>
    </row>
    <row r="549" spans="18:25">
      <c r="R549" s="97" t="s">
        <v>6989</v>
      </c>
      <c r="S549" s="93">
        <v>361620.57555000001</v>
      </c>
    </row>
    <row r="550" spans="18:25">
      <c r="R550" s="97" t="s">
        <v>6990</v>
      </c>
      <c r="S550" s="93">
        <v>761310.51884999999</v>
      </c>
      <c r="U550" s="112"/>
    </row>
    <row r="551" spans="18:25">
      <c r="R551" s="97" t="s">
        <v>6993</v>
      </c>
      <c r="S551" s="93">
        <v>3047100.3041699999</v>
      </c>
    </row>
    <row r="552" spans="18:25">
      <c r="R552" s="97" t="s">
        <v>6996</v>
      </c>
      <c r="S552" s="93">
        <v>2437078.451072</v>
      </c>
      <c r="U552" s="112" t="s">
        <v>25</v>
      </c>
    </row>
    <row r="553" spans="18:25">
      <c r="R553" s="97" t="s">
        <v>7081</v>
      </c>
      <c r="S553" s="93">
        <v>7747639.4065840002</v>
      </c>
      <c r="U553" t="s">
        <v>25</v>
      </c>
    </row>
    <row r="554" spans="18:25">
      <c r="R554" s="97" t="s">
        <v>7083</v>
      </c>
      <c r="S554" s="93">
        <v>5584918.3522559991</v>
      </c>
      <c r="U554" t="s">
        <v>25</v>
      </c>
      <c r="Y554" s="112"/>
    </row>
    <row r="555" spans="18:25">
      <c r="R555" s="97" t="s">
        <v>7087</v>
      </c>
      <c r="S555" s="93">
        <v>573666.77206800005</v>
      </c>
      <c r="X555" s="94" t="s">
        <v>25</v>
      </c>
    </row>
    <row r="556" spans="18:25">
      <c r="R556" s="97"/>
      <c r="S556" s="93"/>
      <c r="U556" t="s">
        <v>25</v>
      </c>
    </row>
    <row r="557" spans="18:25">
      <c r="R557" s="97"/>
      <c r="S557" s="93"/>
      <c r="U557" t="s">
        <v>25</v>
      </c>
    </row>
    <row r="558" spans="18:25">
      <c r="R558" s="97"/>
      <c r="S558" s="93"/>
      <c r="U558" s="415" t="s">
        <v>25</v>
      </c>
      <c r="V558" s="415"/>
      <c r="W558" s="415"/>
    </row>
    <row r="559" spans="18:25">
      <c r="R559" s="97"/>
      <c r="S559" s="93"/>
      <c r="U559" s="415" t="s">
        <v>25</v>
      </c>
      <c r="V559" s="415"/>
      <c r="W559" s="415"/>
      <c r="X559" s="94" t="s">
        <v>25</v>
      </c>
    </row>
    <row r="560" spans="18:25">
      <c r="R560" s="97" t="s">
        <v>25</v>
      </c>
      <c r="S560" s="93"/>
      <c r="U560" s="415"/>
      <c r="V560" s="415"/>
      <c r="W560" s="415"/>
      <c r="Y560" t="s">
        <v>25</v>
      </c>
    </row>
    <row r="561" spans="18:25">
      <c r="R561" s="97" t="s">
        <v>25</v>
      </c>
      <c r="S561" s="97" t="s">
        <v>25</v>
      </c>
      <c r="U561" s="415"/>
      <c r="V561" s="415"/>
      <c r="W561" s="415" t="s">
        <v>25</v>
      </c>
    </row>
    <row r="562" spans="18:25">
      <c r="R562" s="97"/>
      <c r="S562" s="93">
        <f>SUM(S313:S561)</f>
        <v>2103485618.125689</v>
      </c>
      <c r="U562" s="415"/>
      <c r="V562" s="415"/>
      <c r="W562" s="415"/>
    </row>
    <row r="563" spans="18:25">
      <c r="S563" s="97" t="s">
        <v>6</v>
      </c>
      <c r="U563" s="415"/>
      <c r="V563" s="415"/>
      <c r="W563" s="415"/>
    </row>
    <row r="564" spans="18:25">
      <c r="U564" s="415"/>
      <c r="V564" s="415"/>
      <c r="W564" s="415"/>
    </row>
    <row r="565" spans="18:25">
      <c r="R565" t="s">
        <v>25</v>
      </c>
      <c r="U565" s="415"/>
      <c r="V565" s="415"/>
      <c r="W565" s="415"/>
    </row>
    <row r="566" spans="18:25">
      <c r="R566" t="s">
        <v>25</v>
      </c>
      <c r="U566" s="415"/>
      <c r="V566" s="415"/>
      <c r="W566" s="415"/>
    </row>
    <row r="567" spans="18:25">
      <c r="R567" t="s">
        <v>25</v>
      </c>
      <c r="S567" t="s">
        <v>25</v>
      </c>
      <c r="U567" s="415"/>
      <c r="V567" s="415"/>
      <c r="W567" s="415"/>
    </row>
    <row r="568" spans="18:25">
      <c r="R568" t="s">
        <v>25</v>
      </c>
      <c r="S568" t="s">
        <v>25</v>
      </c>
      <c r="U568" s="415"/>
      <c r="V568" s="415"/>
      <c r="W568" s="415"/>
    </row>
    <row r="569" spans="18:25">
      <c r="R569" s="112"/>
      <c r="S569" t="s">
        <v>25</v>
      </c>
      <c r="U569" s="415"/>
      <c r="V569" s="415"/>
      <c r="W569" s="415"/>
      <c r="Y569" t="s">
        <v>25</v>
      </c>
    </row>
    <row r="570" spans="18:25">
      <c r="U570" s="415"/>
      <c r="V570" s="415"/>
      <c r="W570" s="415"/>
    </row>
    <row r="571" spans="18:25">
      <c r="S571" t="s">
        <v>25</v>
      </c>
      <c r="U571" s="415"/>
      <c r="V571" s="415"/>
      <c r="W571" s="415"/>
    </row>
    <row r="572" spans="18:25">
      <c r="R572" t="s">
        <v>25</v>
      </c>
      <c r="U572" s="415"/>
      <c r="V572" s="415"/>
      <c r="W572" s="415"/>
    </row>
    <row r="574" spans="18:25">
      <c r="U574" s="94"/>
      <c r="W574" s="94"/>
    </row>
    <row r="575" spans="18:25">
      <c r="U575" s="94"/>
      <c r="W575" s="94"/>
      <c r="X575" s="112"/>
    </row>
    <row r="576" spans="18:25">
      <c r="U576" s="94"/>
      <c r="W576" s="94"/>
    </row>
    <row r="577" spans="21:23">
      <c r="U577" s="94"/>
      <c r="W577" s="94"/>
    </row>
    <row r="579" spans="21:23">
      <c r="V57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9"/>
  <sheetViews>
    <sheetView topLeftCell="D40" zoomScale="80" zoomScaleNormal="80" workbookViewId="0">
      <selection activeCell="L40" sqref="L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1" si="0">C1*D1*0.99114/(F1*1.0037158)</f>
        <v>4102.0133326251707</v>
      </c>
      <c r="H1" s="385">
        <f t="shared" ref="H1:H57" si="1">C1/F1</f>
        <v>1.2452219935313142</v>
      </c>
      <c r="I1" s="386">
        <f>$R$34/$R$35</f>
        <v>1.2869198312236287</v>
      </c>
      <c r="J1" s="396">
        <f t="shared" ref="J1:J57" si="2">I1/H1</f>
        <v>1.0334862682388575</v>
      </c>
      <c r="K1" s="32">
        <f t="shared" ref="K1:K58" si="3">(1/J1-1.0256)*100</f>
        <v>-5.8001270600257504</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1.2869198312236287</v>
      </c>
      <c r="J2" s="396">
        <f>I2/H2</f>
        <v>0.97587598131943132</v>
      </c>
      <c r="K2" s="32">
        <f t="shared" si="3"/>
        <v>-8.7962656899098768E-2</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1.2869198312236287</v>
      </c>
      <c r="J3" s="396">
        <f t="shared" si="2"/>
        <v>0.96683516841347472</v>
      </c>
      <c r="K3" s="32">
        <f t="shared" si="3"/>
        <v>0.87024671319588798</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16.158940397350992</v>
      </c>
      <c r="J4" s="32">
        <f t="shared" si="2"/>
        <v>1.0149207414711889</v>
      </c>
      <c r="K4" s="32">
        <f t="shared" si="3"/>
        <v>-4.0301385893011243</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16.158940397350992</v>
      </c>
      <c r="J5" s="32">
        <f t="shared" si="2"/>
        <v>0.9998662567029849</v>
      </c>
      <c r="K5" s="32">
        <f t="shared" si="3"/>
        <v>-2.5466238813322883</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16.158940397350992</v>
      </c>
      <c r="J6" s="32">
        <f t="shared" si="2"/>
        <v>0.99152012768209175</v>
      </c>
      <c r="K6" s="32">
        <f t="shared" si="3"/>
        <v>-1.7047604459899501</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16.158940397350992</v>
      </c>
      <c r="J7" s="32">
        <f t="shared" ref="J7:J9" si="7">I7/H7</f>
        <v>0.98820005074540795</v>
      </c>
      <c r="K7" s="32">
        <f t="shared" ref="K7:K9" si="8">(1/J7-1.0256)*100</f>
        <v>-1.3659149313247632</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16.158940397350992</v>
      </c>
      <c r="J8" s="32">
        <f t="shared" si="7"/>
        <v>1.0680387223726058</v>
      </c>
      <c r="K8" s="32">
        <f t="shared" si="8"/>
        <v>-8.9304359165424785</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16.158940397350992</v>
      </c>
      <c r="J9" s="32">
        <f t="shared" si="7"/>
        <v>1.004562203302497</v>
      </c>
      <c r="K9" s="32">
        <f t="shared" si="8"/>
        <v>-3.0141484128607288</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16.158940397350992</v>
      </c>
      <c r="J10" s="32">
        <f>I10/H10</f>
        <v>0.98891060634275507</v>
      </c>
      <c r="K10" s="32">
        <f t="shared" ref="K10" si="10">(1/J10-1.0256)*100</f>
        <v>-1.4386252684399636</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12.556291390728477</v>
      </c>
      <c r="J11" s="396">
        <f>I11/H11</f>
        <v>1.2181320393240922</v>
      </c>
      <c r="K11" s="396">
        <f>(1/J11-1.0256)*100</f>
        <v>-20.467093178923999</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12.556291390728477</v>
      </c>
      <c r="J12" s="396">
        <f t="shared" si="2"/>
        <v>1.2078238517698718</v>
      </c>
      <c r="K12" s="396">
        <f t="shared" si="3"/>
        <v>-19.766470253534031</v>
      </c>
      <c r="L12" s="396"/>
      <c r="M12" s="396"/>
      <c r="N12" s="396">
        <f t="shared" ref="N12:N20" si="13">H12/H11</f>
        <v>1.0085345123290248</v>
      </c>
      <c r="O12" s="40"/>
      <c r="P12" s="40" t="s">
        <v>25</v>
      </c>
      <c r="Q12" s="97">
        <v>20000</v>
      </c>
      <c r="R12" s="97">
        <v>68536</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12.556291390728477</v>
      </c>
      <c r="J13" s="396">
        <f t="shared" si="2"/>
        <v>1.1961898216740152</v>
      </c>
      <c r="K13" s="396">
        <f t="shared" si="3"/>
        <v>-18.961228142825714</v>
      </c>
      <c r="L13" s="396"/>
      <c r="M13" s="396"/>
      <c r="N13" s="396">
        <f t="shared" si="13"/>
        <v>1.0097259062776303</v>
      </c>
      <c r="O13" s="40"/>
      <c r="P13" s="40"/>
      <c r="Q13" s="97">
        <f>Q12*R13/R12</f>
        <v>108055.62040387533</v>
      </c>
      <c r="R13" s="97">
        <v>370285</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12.556291390728477</v>
      </c>
      <c r="J14" s="396">
        <f t="shared" si="2"/>
        <v>1.1806003328716581</v>
      </c>
      <c r="K14" s="396">
        <f t="shared" si="3"/>
        <v>-17.857330336369735</v>
      </c>
      <c r="L14" s="396"/>
      <c r="M14" s="396"/>
      <c r="N14" s="396">
        <f t="shared" si="13"/>
        <v>1.013204713202509</v>
      </c>
      <c r="O14" s="40"/>
      <c r="P14" s="40"/>
      <c r="Q14" s="97">
        <f>Q12-Q13</f>
        <v>-88055.620403875335</v>
      </c>
      <c r="R14" s="97">
        <f>R12-R13</f>
        <v>-301749</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12.556291390728477</v>
      </c>
      <c r="J15" s="396">
        <f t="shared" si="2"/>
        <v>1.1902375121364499</v>
      </c>
      <c r="K15" s="396">
        <f t="shared" si="3"/>
        <v>-18.543155479193217</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12.556291390728477</v>
      </c>
      <c r="J16" s="396">
        <f t="shared" si="2"/>
        <v>1.1606287167037155</v>
      </c>
      <c r="K16" s="396">
        <f t="shared" si="3"/>
        <v>-16.399802030740275</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12.556291390728477</v>
      </c>
      <c r="J17" s="396">
        <f t="shared" si="2"/>
        <v>1.1382908701813239</v>
      </c>
      <c r="K17" s="396">
        <f t="shared" si="3"/>
        <v>-14.708992301000789</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12.556291390728477</v>
      </c>
      <c r="J18" s="396">
        <f t="shared" si="2"/>
        <v>1.1169673441424983</v>
      </c>
      <c r="K18" s="396">
        <f t="shared" si="3"/>
        <v>-13.031867844291799</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12.556291390728477</v>
      </c>
      <c r="J19" s="396">
        <f t="shared" si="2"/>
        <v>1.1085147868511693</v>
      </c>
      <c r="K19" s="396">
        <f t="shared" si="3"/>
        <v>-12.34920517239242</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12.556291390728477</v>
      </c>
      <c r="J20" s="396">
        <f>I20/H20</f>
        <v>1.0881164717164928</v>
      </c>
      <c r="K20" s="396">
        <f t="shared" si="3"/>
        <v>-10.65807350655119</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12.556291390728477</v>
      </c>
      <c r="J21" s="396">
        <f t="shared" si="2"/>
        <v>1.0207613885002722</v>
      </c>
      <c r="K21" s="396">
        <f t="shared" si="3"/>
        <v>-4.5939120125591204</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12.556291390728477</v>
      </c>
      <c r="J22" s="396">
        <f>I22/H22</f>
        <v>1.0233940128636927</v>
      </c>
      <c r="K22" s="396">
        <f t="shared" ref="K22" si="14">(1/J22-1.0256)*100</f>
        <v>-4.8459243428863648</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12.556291390728477</v>
      </c>
      <c r="J23" s="396">
        <f t="shared" ref="J23" si="15">I23/H23</f>
        <v>1.0095632130764105</v>
      </c>
      <c r="K23" s="396">
        <f t="shared" ref="K23" si="16">(1/J23-1.0256)*100</f>
        <v>-3.5072624351345838</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12.556291390728477</v>
      </c>
      <c r="J24" s="396">
        <f t="shared" ref="J24:J25" si="18">I24/H24</f>
        <v>0.99989204441813795</v>
      </c>
      <c r="K24" s="396">
        <f t="shared" ref="K24:K25" si="19">(1/J24-1.0256)*100</f>
        <v>-2.5492032762472139</v>
      </c>
      <c r="L24" s="396"/>
      <c r="M24" s="396"/>
      <c r="N24" s="396">
        <f t="shared" ref="N24:N25" si="20">H24/H23</f>
        <v>1.0096722128276363</v>
      </c>
      <c r="O24" s="40"/>
      <c r="P24" s="40"/>
      <c r="R24" s="350"/>
      <c r="T24" s="351"/>
      <c r="W24" s="351"/>
      <c r="Z24" s="351"/>
    </row>
    <row r="25" spans="1:26">
      <c r="A25" s="399" t="s">
        <v>6990</v>
      </c>
      <c r="B25" s="385" t="s">
        <v>4354</v>
      </c>
      <c r="C25" s="384">
        <v>18890</v>
      </c>
      <c r="D25" s="385">
        <v>403</v>
      </c>
      <c r="E25" s="390" t="s">
        <v>4216</v>
      </c>
      <c r="F25" s="387">
        <v>1504.9</v>
      </c>
      <c r="G25" s="390">
        <f t="shared" si="0"/>
        <v>4995.2083203726907</v>
      </c>
      <c r="H25" s="390">
        <f t="shared" si="1"/>
        <v>12.552329058409196</v>
      </c>
      <c r="I25" s="389">
        <f t="shared" si="12"/>
        <v>12.556291390728477</v>
      </c>
      <c r="J25" s="396">
        <f t="shared" si="18"/>
        <v>1.0003156651089087</v>
      </c>
      <c r="K25" s="396">
        <f t="shared" si="19"/>
        <v>-2.5915565495892134</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6" si="23">$R$31/$R$32</f>
        <v>3.4856879039704527</v>
      </c>
      <c r="J26" s="396">
        <f t="shared" ref="J26:J27" si="24">I26/H26</f>
        <v>1.2942836480806734</v>
      </c>
      <c r="K26" s="396">
        <f>(1/J26-1.0256)*100</f>
        <v>-25.29718350046949</v>
      </c>
      <c r="L26" s="396"/>
      <c r="M26" s="396"/>
      <c r="N26" s="396">
        <f>1</f>
        <v>1</v>
      </c>
      <c r="O26" s="401">
        <f t="shared" ref="O26:O28" si="25">F26-C26</f>
        <v>-757.56700000000001</v>
      </c>
      <c r="P26" s="401">
        <f>R32-R31</f>
        <v>-1076.8</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3.4856879039704527</v>
      </c>
      <c r="J27" s="396">
        <f t="shared" si="24"/>
        <v>1.2823433207077846</v>
      </c>
      <c r="K27" s="396">
        <f>(1/J27-1.0256)*100</f>
        <v>-24.577763585491773</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3.4856879039704527</v>
      </c>
      <c r="J28" s="396">
        <f t="shared" ref="J28" si="26">I28/H28</f>
        <v>1.2547269127048564</v>
      </c>
      <c r="K28" s="396">
        <f t="shared" ref="K28" si="27">(1/J28-1.0256)*100</f>
        <v>-22.861382725244429</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3.4856879039704527</v>
      </c>
      <c r="J29" s="396">
        <f t="shared" ref="J29" si="29">I29/H29</f>
        <v>1.2327475306980455</v>
      </c>
      <c r="K29" s="396">
        <f t="shared" ref="K29" si="30">(1/J29-1.0256)*100</f>
        <v>-21.440389122844316</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3.4856879039704527</v>
      </c>
      <c r="J30" s="396">
        <f t="shared" ref="J30" si="33">I30/H30</f>
        <v>1.2310462902790538</v>
      </c>
      <c r="K30" s="396">
        <f t="shared" ref="K30:K31" si="34">(1/J30-1.0256)*100</f>
        <v>-21.328286140294551</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3.4856879039704527</v>
      </c>
      <c r="J31" s="396">
        <f>I31/H31</f>
        <v>1.2275004082888927</v>
      </c>
      <c r="K31" s="396">
        <f t="shared" si="34"/>
        <v>-21.093631985183869</v>
      </c>
      <c r="L31" s="396"/>
      <c r="M31" s="396"/>
      <c r="N31" s="396">
        <f t="shared" si="35"/>
        <v>1.0028887012714756</v>
      </c>
      <c r="O31" s="401">
        <f>F31-C31</f>
        <v>-952.33299999999997</v>
      </c>
      <c r="P31" s="40"/>
      <c r="Q31" s="97" t="s">
        <v>4216</v>
      </c>
      <c r="R31" s="278">
        <v>1510</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3.4856879039704527</v>
      </c>
      <c r="J32" s="396">
        <f t="shared" ref="J32:J33" si="36">I32/H32</f>
        <v>1.2093513188939626</v>
      </c>
      <c r="K32" s="396">
        <f t="shared" ref="K32:K33" si="37">(1/J32-1.0256)*100</f>
        <v>-19.871042343380363</v>
      </c>
      <c r="L32" s="396"/>
      <c r="M32" s="396"/>
      <c r="N32" s="396">
        <f t="shared" ref="N32:N33" si="38">H32/H31</f>
        <v>1.0150072928448359</v>
      </c>
      <c r="O32" s="401">
        <f t="shared" ref="O32:O36" si="39">F32-C32</f>
        <v>-964.28399999999988</v>
      </c>
      <c r="P32" s="40"/>
      <c r="Q32" s="97" t="s">
        <v>5267</v>
      </c>
      <c r="R32" s="288">
        <v>433.2</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3.4856879039704527</v>
      </c>
      <c r="J33" s="396">
        <f t="shared" si="36"/>
        <v>1.1874344413665745</v>
      </c>
      <c r="K33" s="396">
        <f t="shared" si="37"/>
        <v>-18.344824394251457</v>
      </c>
      <c r="L33" s="396"/>
      <c r="M33" s="396"/>
      <c r="N33" s="396">
        <f t="shared" si="38"/>
        <v>1.0184573368969867</v>
      </c>
      <c r="O33" s="401">
        <f t="shared" si="39"/>
        <v>-989.01</v>
      </c>
      <c r="P33" s="40"/>
      <c r="Q33" s="97" t="s">
        <v>5799</v>
      </c>
      <c r="R33" s="345">
        <v>1380</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3.4856879039704527</v>
      </c>
      <c r="J34" s="396">
        <f t="shared" ref="J34" si="40">I34/H34</f>
        <v>1.1647986453729049</v>
      </c>
      <c r="K34" s="396">
        <f t="shared" ref="K34" si="41">(1/J34-1.0256)*100</f>
        <v>-16.708251805370654</v>
      </c>
      <c r="L34" s="396"/>
      <c r="M34" s="396"/>
      <c r="N34" s="396">
        <f t="shared" ref="N34" si="42">H34/H33</f>
        <v>1.0194332265783352</v>
      </c>
      <c r="O34" s="401">
        <f t="shared" si="39"/>
        <v>-1012.7334000000001</v>
      </c>
      <c r="P34" s="40"/>
      <c r="Q34" s="97" t="s">
        <v>4358</v>
      </c>
      <c r="R34" s="277">
        <v>24400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3.4856879039704527</v>
      </c>
      <c r="J35" s="396">
        <f t="shared" ref="J35" si="43">I35/H35</f>
        <v>1.1635355364961677</v>
      </c>
      <c r="K35" s="396">
        <f t="shared" ref="K35" si="44">(1/J35-1.0256)*100</f>
        <v>-16.61505301442131</v>
      </c>
      <c r="L35" s="396"/>
      <c r="M35" s="396"/>
      <c r="N35" s="396">
        <f t="shared" ref="N35" si="45">H35/H34</f>
        <v>1.0010855782544821</v>
      </c>
      <c r="O35" s="401">
        <f t="shared" si="39"/>
        <v>-1024.943</v>
      </c>
      <c r="P35" s="40" t="s">
        <v>25</v>
      </c>
      <c r="Q35" s="97" t="s">
        <v>4354</v>
      </c>
      <c r="R35" s="287">
        <v>18960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3.4856879039704527</v>
      </c>
      <c r="J36" s="396">
        <f>I36/H36</f>
        <v>1.1139074722556144</v>
      </c>
      <c r="K36" s="396">
        <f t="shared" ref="K36" si="46">(1/J36-1.0256)*100</f>
        <v>-12.785936632326989</v>
      </c>
      <c r="L36" s="396"/>
      <c r="M36" s="396"/>
      <c r="N36" s="396">
        <f t="shared" ref="N36" si="47">H36/H35</f>
        <v>1.0445531298394637</v>
      </c>
      <c r="O36" s="401">
        <f t="shared" si="39"/>
        <v>-1081.8899999999999</v>
      </c>
      <c r="P36" s="40"/>
      <c r="Q36" s="97" t="s">
        <v>4656</v>
      </c>
      <c r="R36" s="439">
        <v>799</v>
      </c>
      <c r="S36" t="s">
        <v>25</v>
      </c>
      <c r="T36" s="351" t="s">
        <v>25</v>
      </c>
    </row>
    <row r="37" spans="1:25" ht="21">
      <c r="A37" s="400" t="s">
        <v>7085</v>
      </c>
      <c r="B37" s="390" t="s">
        <v>4216</v>
      </c>
      <c r="C37" s="387">
        <v>1394</v>
      </c>
      <c r="D37" s="390">
        <v>31412</v>
      </c>
      <c r="E37" s="392" t="s">
        <v>5267</v>
      </c>
      <c r="F37" s="391">
        <v>432.39499999999998</v>
      </c>
      <c r="G37" s="392">
        <f t="shared" si="21"/>
        <v>100000.44718678057</v>
      </c>
      <c r="H37" s="413">
        <f t="shared" si="22"/>
        <v>3.2239040691959899</v>
      </c>
      <c r="I37" s="393">
        <f t="shared" si="23"/>
        <v>3.4856879039704527</v>
      </c>
      <c r="J37" s="396">
        <f t="shared" ref="J37" si="48">I37/H37</f>
        <v>1.0812008760669325</v>
      </c>
      <c r="K37" s="396">
        <f t="shared" ref="K37" si="49">(1/J37-1.0256)*100</f>
        <v>-10.070248822801153</v>
      </c>
      <c r="L37" s="396"/>
      <c r="M37" s="396"/>
      <c r="N37" s="396">
        <f t="shared" ref="N37" si="50">H37/H36</f>
        <v>1.0302502494334431</v>
      </c>
      <c r="O37" s="401">
        <f t="shared" ref="O37" si="51">F37-C37</f>
        <v>-961.60500000000002</v>
      </c>
      <c r="P37" s="40"/>
      <c r="Q37" s="67" t="s">
        <v>1068</v>
      </c>
      <c r="R37" s="346">
        <v>13400000</v>
      </c>
    </row>
    <row r="38" spans="1:25" ht="18.75">
      <c r="A38" s="400" t="s">
        <v>7087</v>
      </c>
      <c r="B38" s="390" t="s">
        <v>4216</v>
      </c>
      <c r="C38" s="387">
        <v>1418</v>
      </c>
      <c r="D38" s="390">
        <v>55088</v>
      </c>
      <c r="E38" s="392" t="s">
        <v>5267</v>
      </c>
      <c r="F38" s="391">
        <v>432.37900000000002</v>
      </c>
      <c r="G38" s="392">
        <f t="shared" si="21"/>
        <v>178399.19335602946</v>
      </c>
      <c r="H38" s="413">
        <f t="shared" si="22"/>
        <v>3.2795302269536677</v>
      </c>
      <c r="I38" s="393">
        <f t="shared" si="23"/>
        <v>3.4856879039704527</v>
      </c>
      <c r="J38" s="396">
        <f t="shared" ref="J38:J41" si="52">I38/H38</f>
        <v>1.0628619536183643</v>
      </c>
      <c r="K38" s="396">
        <f t="shared" ref="K38:K41" si="53">(1/J38-1.0256)*100</f>
        <v>-8.4744043499120245</v>
      </c>
      <c r="L38" s="396"/>
      <c r="M38" s="396"/>
      <c r="N38" s="396">
        <f t="shared" ref="N38:N41" si="54">H38/H37</f>
        <v>1.0172542844215431</v>
      </c>
      <c r="O38" s="401">
        <f t="shared" ref="O38:O41" si="55">F38-C38</f>
        <v>-985.62099999999998</v>
      </c>
      <c r="P38" s="40"/>
      <c r="Q38" t="s">
        <v>25</v>
      </c>
      <c r="S38" t="s">
        <v>25</v>
      </c>
    </row>
    <row r="39" spans="1:25" ht="18.75">
      <c r="A39" s="400" t="s">
        <v>7087</v>
      </c>
      <c r="B39" s="390" t="s">
        <v>4216</v>
      </c>
      <c r="C39" s="387">
        <v>1425</v>
      </c>
      <c r="D39" s="390">
        <v>40000</v>
      </c>
      <c r="E39" s="392" t="s">
        <v>5267</v>
      </c>
      <c r="F39" s="391">
        <v>431.85500000000002</v>
      </c>
      <c r="G39" s="392">
        <f t="shared" si="21"/>
        <v>130335.0270376908</v>
      </c>
      <c r="H39" s="413">
        <f t="shared" si="22"/>
        <v>3.2997186555672622</v>
      </c>
      <c r="I39" s="393">
        <f t="shared" si="23"/>
        <v>3.4856879039704527</v>
      </c>
      <c r="J39" s="396">
        <f t="shared" si="52"/>
        <v>1.0563591226450244</v>
      </c>
      <c r="K39" s="396">
        <f t="shared" si="53"/>
        <v>-7.895223735646506</v>
      </c>
      <c r="L39" s="396"/>
      <c r="M39" s="396"/>
      <c r="N39" s="396">
        <f t="shared" si="54"/>
        <v>1.0061558903917611</v>
      </c>
      <c r="O39" s="401">
        <f t="shared" si="55"/>
        <v>-993.14499999999998</v>
      </c>
      <c r="P39" s="40"/>
      <c r="Q39" t="s">
        <v>25</v>
      </c>
      <c r="R39" t="s">
        <v>25</v>
      </c>
    </row>
    <row r="40" spans="1:25" ht="18.75">
      <c r="A40" s="400" t="s">
        <v>7095</v>
      </c>
      <c r="B40" s="390" t="s">
        <v>4216</v>
      </c>
      <c r="C40" s="387">
        <v>1440</v>
      </c>
      <c r="D40" s="390">
        <v>20000</v>
      </c>
      <c r="E40" s="392" t="s">
        <v>5267</v>
      </c>
      <c r="F40" s="391">
        <v>435.92899999999997</v>
      </c>
      <c r="G40" s="392">
        <f t="shared" si="21"/>
        <v>65238.049722615971</v>
      </c>
      <c r="H40" s="413">
        <f t="shared" si="22"/>
        <v>3.3032902146909247</v>
      </c>
      <c r="I40" s="393">
        <f t="shared" si="23"/>
        <v>3.4856879039704527</v>
      </c>
      <c r="J40" s="396">
        <f t="shared" si="52"/>
        <v>1.0552169738124551</v>
      </c>
      <c r="K40" s="396">
        <f t="shared" si="53"/>
        <v>-7.7927601984034141</v>
      </c>
      <c r="L40" s="396"/>
      <c r="M40" s="396"/>
      <c r="N40" s="396">
        <f t="shared" si="54"/>
        <v>1.0010823829230522</v>
      </c>
      <c r="O40" s="401">
        <f t="shared" si="55"/>
        <v>-1004.071</v>
      </c>
      <c r="P40" s="40"/>
      <c r="R40" t="s">
        <v>25</v>
      </c>
    </row>
    <row r="41" spans="1:25" ht="18.75" customHeight="1">
      <c r="A41" s="400" t="s">
        <v>7095</v>
      </c>
      <c r="B41" s="390" t="s">
        <v>4216</v>
      </c>
      <c r="C41" s="387">
        <v>1445</v>
      </c>
      <c r="D41" s="390">
        <v>20000</v>
      </c>
      <c r="E41" s="392" t="s">
        <v>5267</v>
      </c>
      <c r="F41" s="391">
        <v>436.55500000000001</v>
      </c>
      <c r="G41" s="392">
        <f t="shared" si="21"/>
        <v>65370.697513822262</v>
      </c>
      <c r="H41" s="413">
        <f t="shared" si="22"/>
        <v>3.3100067574532419</v>
      </c>
      <c r="I41" s="393">
        <f t="shared" si="23"/>
        <v>3.4856879039704527</v>
      </c>
      <c r="J41" s="396">
        <f t="shared" si="52"/>
        <v>1.0530757667251356</v>
      </c>
      <c r="K41" s="396">
        <f t="shared" si="53"/>
        <v>-7.6000710378315128</v>
      </c>
      <c r="L41" s="396"/>
      <c r="M41" s="396"/>
      <c r="N41" s="396">
        <f t="shared" si="54"/>
        <v>1.0020332887290515</v>
      </c>
      <c r="O41" s="401">
        <f t="shared" si="55"/>
        <v>-1008.4449999999999</v>
      </c>
      <c r="P41" s="40" t="s">
        <v>25</v>
      </c>
      <c r="R41" t="s">
        <v>25</v>
      </c>
      <c r="U41" t="s">
        <v>25</v>
      </c>
    </row>
    <row r="42" spans="1:25" ht="27.75" customHeight="1">
      <c r="A42" s="400" t="s">
        <v>7095</v>
      </c>
      <c r="B42" s="390" t="s">
        <v>4216</v>
      </c>
      <c r="C42" s="387">
        <v>1460</v>
      </c>
      <c r="D42" s="390">
        <v>20000</v>
      </c>
      <c r="E42" s="392" t="s">
        <v>5267</v>
      </c>
      <c r="F42" s="391">
        <v>440</v>
      </c>
      <c r="G42" s="392">
        <f t="shared" si="21"/>
        <v>65532.150181808982</v>
      </c>
      <c r="H42" s="413">
        <f t="shared" si="22"/>
        <v>3.3181818181818183</v>
      </c>
      <c r="I42" s="393">
        <f t="shared" si="23"/>
        <v>3.4856879039704527</v>
      </c>
      <c r="J42" s="396">
        <f t="shared" ref="J42:J43" si="56">I42/H42</f>
        <v>1.0504812861280817</v>
      </c>
      <c r="K42" s="396">
        <f t="shared" ref="K42:K44" si="57">(1/J42-1.0256)*100</f>
        <v>-7.3655388320289177</v>
      </c>
      <c r="L42" s="396"/>
      <c r="M42" s="396"/>
      <c r="N42" s="396">
        <f t="shared" ref="N42" si="58">H42/H41</f>
        <v>1.0024698018244731</v>
      </c>
      <c r="O42" s="401">
        <f t="shared" ref="O42:O45" si="59">F42-C42</f>
        <v>-1020</v>
      </c>
      <c r="P42" s="40"/>
      <c r="Q42" s="442"/>
      <c r="R42" t="s">
        <v>25</v>
      </c>
    </row>
    <row r="43" spans="1:25" ht="18.75">
      <c r="A43" s="400" t="s">
        <v>7095</v>
      </c>
      <c r="B43" s="390" t="s">
        <v>4216</v>
      </c>
      <c r="C43" s="387">
        <v>1452</v>
      </c>
      <c r="D43" s="390">
        <v>20000</v>
      </c>
      <c r="E43" s="392" t="s">
        <v>5267</v>
      </c>
      <c r="F43" s="391">
        <v>432.19499999999999</v>
      </c>
      <c r="G43" s="392">
        <f t="shared" si="21"/>
        <v>66350.02894297638</v>
      </c>
      <c r="H43" s="413">
        <f t="shared" si="22"/>
        <v>3.3595946274251207</v>
      </c>
      <c r="I43" s="393">
        <f t="shared" si="23"/>
        <v>3.4856879039704527</v>
      </c>
      <c r="J43" s="396">
        <f t="shared" si="56"/>
        <v>1.0375322890196348</v>
      </c>
      <c r="K43" s="396">
        <f t="shared" si="57"/>
        <v>-6.1774574436713863</v>
      </c>
      <c r="L43" s="396"/>
      <c r="M43" s="396"/>
      <c r="N43" s="396">
        <f>H43/H42</f>
        <v>1.0124805726486665</v>
      </c>
      <c r="O43" s="401">
        <f t="shared" si="59"/>
        <v>-1019.8050000000001</v>
      </c>
      <c r="P43" s="40"/>
      <c r="Q43" s="442">
        <v>100</v>
      </c>
      <c r="R43" t="s">
        <v>25</v>
      </c>
      <c r="S43" t="s">
        <v>25</v>
      </c>
    </row>
    <row r="44" spans="1:25" ht="33.75" customHeight="1">
      <c r="A44" s="400" t="s">
        <v>7095</v>
      </c>
      <c r="B44" s="390" t="s">
        <v>4216</v>
      </c>
      <c r="C44" s="387">
        <v>1453</v>
      </c>
      <c r="D44" s="390">
        <v>7000</v>
      </c>
      <c r="E44" s="392" t="s">
        <v>5267</v>
      </c>
      <c r="F44" s="391">
        <v>430.2</v>
      </c>
      <c r="G44" s="392">
        <f t="shared" si="21"/>
        <v>23346.269318797153</v>
      </c>
      <c r="H44" s="413">
        <f>C44/F44</f>
        <v>3.3774988377498838</v>
      </c>
      <c r="I44" s="393">
        <f t="shared" si="23"/>
        <v>3.4856879039704527</v>
      </c>
      <c r="J44" s="396">
        <f>I44/H44</f>
        <v>1.0320323030200198</v>
      </c>
      <c r="K44" s="396">
        <f t="shared" si="57"/>
        <v>-5.6638081779305072</v>
      </c>
      <c r="L44" s="396"/>
      <c r="M44" s="396"/>
      <c r="N44" s="396">
        <f>H44/H43</f>
        <v>1.005329276984374</v>
      </c>
      <c r="O44" s="401">
        <f t="shared" si="59"/>
        <v>-1022.8</v>
      </c>
      <c r="P44" s="40"/>
      <c r="Q44" s="442"/>
      <c r="R44" t="s">
        <v>25</v>
      </c>
      <c r="U44" t="s">
        <v>25</v>
      </c>
    </row>
    <row r="45" spans="1:25" ht="24.75" customHeight="1">
      <c r="A45" s="400" t="s">
        <v>7098</v>
      </c>
      <c r="B45" s="390" t="s">
        <v>4216</v>
      </c>
      <c r="C45" s="387">
        <v>1459</v>
      </c>
      <c r="D45" s="390">
        <v>20000</v>
      </c>
      <c r="E45" s="392" t="s">
        <v>5267</v>
      </c>
      <c r="F45" s="391">
        <v>426.15</v>
      </c>
      <c r="G45" s="392">
        <f t="shared" si="21"/>
        <v>67615.620473712712</v>
      </c>
      <c r="H45" s="413">
        <f>C45/F45</f>
        <v>3.4236771089991791</v>
      </c>
      <c r="I45" s="393">
        <f t="shared" si="23"/>
        <v>3.4856879039704527</v>
      </c>
      <c r="J45" s="396">
        <f t="shared" ref="J45" si="60">I45/H45</f>
        <v>1.0181123374071339</v>
      </c>
      <c r="K45" s="396">
        <f t="shared" ref="K45" si="61">(1/J45-1.0256)*100</f>
        <v>-4.3390116808977419</v>
      </c>
      <c r="L45" s="396"/>
      <c r="M45" s="396"/>
      <c r="N45" s="396">
        <f>H45/H44</f>
        <v>1.0136723277986557</v>
      </c>
      <c r="O45" s="401">
        <f t="shared" si="59"/>
        <v>-1032.8499999999999</v>
      </c>
      <c r="P45" s="40"/>
      <c r="Q45" s="442"/>
    </row>
    <row r="46" spans="1:25" ht="18.75">
      <c r="A46" s="400" t="s">
        <v>7098</v>
      </c>
      <c r="B46" s="390" t="s">
        <v>4216</v>
      </c>
      <c r="C46" s="387">
        <v>1463</v>
      </c>
      <c r="D46" s="390">
        <v>20000</v>
      </c>
      <c r="E46" s="392" t="s">
        <v>5267</v>
      </c>
      <c r="F46" s="391">
        <v>426.83499999999998</v>
      </c>
      <c r="G46" s="392">
        <f t="shared" ref="G46:G56" si="62">C46*D46*0.99114/(F46*1.0037158)</f>
        <v>67692.186267212892</v>
      </c>
      <c r="H46" s="413">
        <f t="shared" ref="H46:H56" si="63">C46/F46</f>
        <v>3.4275539728466504</v>
      </c>
      <c r="I46" s="393">
        <f t="shared" si="23"/>
        <v>3.4856879039704527</v>
      </c>
      <c r="J46" s="396">
        <f t="shared" ref="J46:J56" si="64">I46/H46</f>
        <v>1.0169607631518989</v>
      </c>
      <c r="K46" s="396">
        <f t="shared" ref="K46:K56" si="65">(1/J46-1.0256)*100</f>
        <v>-4.2277893352868361</v>
      </c>
      <c r="L46" s="396"/>
      <c r="M46" s="396"/>
      <c r="N46" s="396">
        <f t="shared" ref="N46:N56" si="66">H46/H45</f>
        <v>1.0011323684226181</v>
      </c>
      <c r="O46" s="401">
        <f t="shared" ref="O46:O56" si="67">F46-C46</f>
        <v>-1036.165</v>
      </c>
      <c r="P46" s="40"/>
      <c r="Q46" s="442"/>
      <c r="R46" t="s">
        <v>25</v>
      </c>
    </row>
    <row r="47" spans="1:25" ht="18.75">
      <c r="A47" s="400" t="s">
        <v>7098</v>
      </c>
      <c r="B47" s="390" t="s">
        <v>4216</v>
      </c>
      <c r="C47" s="387">
        <v>1468</v>
      </c>
      <c r="D47" s="390">
        <v>20000</v>
      </c>
      <c r="E47" s="392" t="s">
        <v>5267</v>
      </c>
      <c r="F47" s="391">
        <v>426.01499999999999</v>
      </c>
      <c r="G47" s="392">
        <f t="shared" si="62"/>
        <v>68054.273678115176</v>
      </c>
      <c r="H47" s="413">
        <f t="shared" si="63"/>
        <v>3.4458880555848972</v>
      </c>
      <c r="I47" s="393">
        <f t="shared" si="23"/>
        <v>3.4856879039704527</v>
      </c>
      <c r="J47" s="396">
        <f t="shared" si="64"/>
        <v>1.0115499539577468</v>
      </c>
      <c r="K47" s="396">
        <f t="shared" si="65"/>
        <v>-3.7018075709021603</v>
      </c>
      <c r="L47" s="396"/>
      <c r="M47" s="396"/>
      <c r="N47" s="396">
        <f t="shared" si="66"/>
        <v>1.0053490281651261</v>
      </c>
      <c r="O47" s="401">
        <f t="shared" si="67"/>
        <v>-1041.9850000000001</v>
      </c>
      <c r="P47" s="40"/>
      <c r="Q47" s="442">
        <v>277816</v>
      </c>
      <c r="R47">
        <v>838847</v>
      </c>
      <c r="S47" t="s">
        <v>25</v>
      </c>
    </row>
    <row r="48" spans="1:25" ht="18.75">
      <c r="A48" s="400" t="s">
        <v>7101</v>
      </c>
      <c r="B48" s="390" t="s">
        <v>4216</v>
      </c>
      <c r="C48" s="387">
        <v>1480</v>
      </c>
      <c r="D48" s="390">
        <v>9021</v>
      </c>
      <c r="E48" s="392" t="s">
        <v>5267</v>
      </c>
      <c r="F48" s="391">
        <v>426.1</v>
      </c>
      <c r="G48" s="392">
        <f t="shared" si="62"/>
        <v>30940.626761814896</v>
      </c>
      <c r="H48" s="413">
        <f t="shared" si="63"/>
        <v>3.4733630603144801</v>
      </c>
      <c r="I48" s="393">
        <f t="shared" si="23"/>
        <v>3.4856879039704527</v>
      </c>
      <c r="J48" s="396">
        <f t="shared" si="64"/>
        <v>1.0035483891093311</v>
      </c>
      <c r="K48" s="396">
        <f t="shared" si="65"/>
        <v>-2.9135842564084413</v>
      </c>
      <c r="L48" s="396"/>
      <c r="M48" s="396"/>
      <c r="N48" s="396">
        <f t="shared" si="66"/>
        <v>1.0079732725748456</v>
      </c>
      <c r="O48" s="401">
        <f t="shared" si="67"/>
        <v>-1053.9000000000001</v>
      </c>
      <c r="P48" s="40"/>
      <c r="Q48" s="442"/>
      <c r="R48" t="s">
        <v>25</v>
      </c>
    </row>
    <row r="49" spans="1:19" ht="18.75">
      <c r="A49" s="400" t="s">
        <v>7101</v>
      </c>
      <c r="B49" s="390" t="s">
        <v>4216</v>
      </c>
      <c r="C49" s="387">
        <v>1485</v>
      </c>
      <c r="D49" s="390">
        <v>15750</v>
      </c>
      <c r="E49" s="392" t="s">
        <v>5267</v>
      </c>
      <c r="F49" s="391">
        <v>427.3</v>
      </c>
      <c r="G49" s="392">
        <f t="shared" si="62"/>
        <v>54050.3314959899</v>
      </c>
      <c r="H49" s="413">
        <f t="shared" si="63"/>
        <v>3.4753100865902176</v>
      </c>
      <c r="I49" s="393">
        <f t="shared" si="23"/>
        <v>3.4856879039704527</v>
      </c>
      <c r="J49" s="396">
        <f t="shared" si="64"/>
        <v>1.0029861558024071</v>
      </c>
      <c r="K49" s="396">
        <f t="shared" si="65"/>
        <v>-2.8577265224581483</v>
      </c>
      <c r="L49" s="396"/>
      <c r="M49" s="396"/>
      <c r="N49" s="396">
        <f t="shared" si="66"/>
        <v>1.0005605593892513</v>
      </c>
      <c r="O49" s="401">
        <f t="shared" si="67"/>
        <v>-1057.7</v>
      </c>
      <c r="P49" s="40"/>
      <c r="Q49" s="442"/>
      <c r="R49" t="s">
        <v>25</v>
      </c>
    </row>
    <row r="50" spans="1:19" ht="18.75">
      <c r="A50" s="400" t="s">
        <v>7101</v>
      </c>
      <c r="B50" s="390" t="s">
        <v>4216</v>
      </c>
      <c r="C50" s="387">
        <v>1490</v>
      </c>
      <c r="D50" s="390">
        <v>2730</v>
      </c>
      <c r="E50" s="392" t="s">
        <v>5267</v>
      </c>
      <c r="F50" s="391">
        <v>429</v>
      </c>
      <c r="G50" s="392">
        <f t="shared" si="62"/>
        <v>9363.0181698118868</v>
      </c>
      <c r="H50" s="413">
        <f t="shared" si="63"/>
        <v>3.473193473193473</v>
      </c>
      <c r="I50" s="393">
        <f t="shared" si="23"/>
        <v>3.4856879039704527</v>
      </c>
      <c r="J50" s="396">
        <f t="shared" si="64"/>
        <v>1.0035973898008888</v>
      </c>
      <c r="K50" s="396">
        <f t="shared" si="65"/>
        <v>-2.9184494975223574</v>
      </c>
      <c r="L50" s="396"/>
      <c r="M50" s="396"/>
      <c r="N50" s="396">
        <f t="shared" si="66"/>
        <v>0.99939095696671454</v>
      </c>
      <c r="O50" s="401">
        <f t="shared" si="67"/>
        <v>-1061</v>
      </c>
      <c r="P50" s="40"/>
      <c r="Q50" s="442" t="s">
        <v>25</v>
      </c>
    </row>
    <row r="51" spans="1:19" ht="18.75">
      <c r="A51" s="400" t="s">
        <v>7101</v>
      </c>
      <c r="B51" s="390" t="s">
        <v>4216</v>
      </c>
      <c r="C51" s="387">
        <v>1495</v>
      </c>
      <c r="D51" s="390">
        <v>20000</v>
      </c>
      <c r="E51" s="392" t="s">
        <v>5267</v>
      </c>
      <c r="F51" s="391">
        <v>432</v>
      </c>
      <c r="G51" s="392">
        <f t="shared" si="62"/>
        <v>68345.776873404917</v>
      </c>
      <c r="H51" s="413">
        <f t="shared" si="63"/>
        <v>3.4606481481481484</v>
      </c>
      <c r="I51" s="393">
        <f t="shared" si="23"/>
        <v>3.4856879039704527</v>
      </c>
      <c r="J51" s="396">
        <f t="shared" si="64"/>
        <v>1.0072355682376157</v>
      </c>
      <c r="K51" s="396">
        <f t="shared" si="65"/>
        <v>-3.2783590875643975</v>
      </c>
      <c r="L51" s="396"/>
      <c r="M51" s="396"/>
      <c r="N51" s="396">
        <f t="shared" si="66"/>
        <v>0.99638795674869507</v>
      </c>
      <c r="O51" s="401">
        <f t="shared" si="67"/>
        <v>-1063</v>
      </c>
      <c r="P51" s="40"/>
      <c r="Q51" s="442"/>
    </row>
    <row r="52" spans="1:19" ht="18.75">
      <c r="A52" s="400" t="s">
        <v>7101</v>
      </c>
      <c r="B52" s="390" t="s">
        <v>4216</v>
      </c>
      <c r="C52" s="387">
        <v>1500</v>
      </c>
      <c r="D52" s="390">
        <v>14506</v>
      </c>
      <c r="E52" s="392" t="s">
        <v>5267</v>
      </c>
      <c r="F52" s="391">
        <v>431.58</v>
      </c>
      <c r="G52" s="392">
        <f t="shared" si="62"/>
        <v>49785.384362986719</v>
      </c>
      <c r="H52" s="413">
        <f t="shared" si="63"/>
        <v>3.4756012790212707</v>
      </c>
      <c r="I52" s="393">
        <f t="shared" si="23"/>
        <v>3.4856879039704527</v>
      </c>
      <c r="J52" s="396">
        <f t="shared" si="64"/>
        <v>1.0029021237303786</v>
      </c>
      <c r="K52" s="396">
        <f t="shared" si="65"/>
        <v>-2.849372578012288</v>
      </c>
      <c r="L52" s="396"/>
      <c r="M52" s="396"/>
      <c r="N52" s="396">
        <f t="shared" si="66"/>
        <v>1.0043209047071497</v>
      </c>
      <c r="O52" s="401">
        <f t="shared" si="67"/>
        <v>-1068.42</v>
      </c>
      <c r="P52" s="40"/>
      <c r="Q52" s="442"/>
      <c r="R52" t="s">
        <v>25</v>
      </c>
    </row>
    <row r="53" spans="1:19" ht="25.5" customHeight="1">
      <c r="A53" s="400" t="s">
        <v>7101</v>
      </c>
      <c r="B53" s="390" t="s">
        <v>4216</v>
      </c>
      <c r="C53" s="387">
        <v>1505</v>
      </c>
      <c r="D53" s="390">
        <v>14717</v>
      </c>
      <c r="E53" s="392" t="s">
        <v>5267</v>
      </c>
      <c r="F53" s="391">
        <v>434</v>
      </c>
      <c r="G53" s="392">
        <f t="shared" si="62"/>
        <v>50395.331136627043</v>
      </c>
      <c r="H53" s="413">
        <f t="shared" si="63"/>
        <v>3.467741935483871</v>
      </c>
      <c r="I53" s="393">
        <f t="shared" si="23"/>
        <v>3.4856879039704527</v>
      </c>
      <c r="J53" s="396">
        <f t="shared" si="64"/>
        <v>1.005175116493805</v>
      </c>
      <c r="K53" s="396">
        <f t="shared" si="65"/>
        <v>-3.0748472548600914</v>
      </c>
      <c r="L53" s="396"/>
      <c r="M53" s="396"/>
      <c r="N53" s="396">
        <f t="shared" si="66"/>
        <v>0.9977387096774194</v>
      </c>
      <c r="O53" s="401">
        <f t="shared" si="67"/>
        <v>-1071</v>
      </c>
      <c r="P53" s="40"/>
      <c r="Q53" s="442"/>
    </row>
    <row r="54" spans="1:19" ht="18.75">
      <c r="A54" s="400" t="s">
        <v>7101</v>
      </c>
      <c r="B54" s="390" t="s">
        <v>4216</v>
      </c>
      <c r="C54" s="387">
        <v>1510</v>
      </c>
      <c r="D54" s="390">
        <v>20000</v>
      </c>
      <c r="E54" s="392" t="s">
        <v>5267</v>
      </c>
      <c r="F54" s="391">
        <v>434.8</v>
      </c>
      <c r="G54" s="392">
        <f t="shared" si="62"/>
        <v>68586.97524415869</v>
      </c>
      <c r="H54" s="413">
        <f t="shared" si="63"/>
        <v>3.4728610855565778</v>
      </c>
      <c r="I54" s="393">
        <f t="shared" si="23"/>
        <v>3.4856879039704527</v>
      </c>
      <c r="J54" s="396">
        <f t="shared" si="64"/>
        <v>1.0036934441366574</v>
      </c>
      <c r="K54" s="396">
        <f t="shared" si="65"/>
        <v>-2.9279852805887852</v>
      </c>
      <c r="L54" s="396"/>
      <c r="M54" s="396"/>
      <c r="N54" s="396">
        <f t="shared" si="66"/>
        <v>1.0014762200209666</v>
      </c>
      <c r="O54" s="401">
        <f t="shared" si="67"/>
        <v>-1075.2</v>
      </c>
      <c r="P54" s="40"/>
      <c r="Q54" s="442"/>
    </row>
    <row r="55" spans="1:19" ht="18.75">
      <c r="A55" s="400" t="s">
        <v>7101</v>
      </c>
      <c r="B55" s="390" t="s">
        <v>4216</v>
      </c>
      <c r="C55" s="387">
        <v>1515</v>
      </c>
      <c r="D55" s="390">
        <v>20000</v>
      </c>
      <c r="E55" s="392" t="s">
        <v>5267</v>
      </c>
      <c r="F55" s="391">
        <v>436.42</v>
      </c>
      <c r="G55" s="392">
        <f t="shared" si="62"/>
        <v>68558.645139490909</v>
      </c>
      <c r="H55" s="413">
        <f t="shared" si="63"/>
        <v>3.4714266073965443</v>
      </c>
      <c r="I55" s="393">
        <f t="shared" si="23"/>
        <v>3.4856879039704527</v>
      </c>
      <c r="J55" s="396">
        <f t="shared" si="64"/>
        <v>1.0041081947529935</v>
      </c>
      <c r="K55" s="396">
        <f t="shared" si="65"/>
        <v>-2.9691386540276365</v>
      </c>
      <c r="L55" s="396"/>
      <c r="M55" s="396"/>
      <c r="N55" s="396">
        <f t="shared" si="66"/>
        <v>0.99958694628875322</v>
      </c>
      <c r="O55" s="401">
        <f t="shared" si="67"/>
        <v>-1078.58</v>
      </c>
      <c r="P55" s="40"/>
    </row>
    <row r="56" spans="1:19" ht="29.25" customHeight="1">
      <c r="A56" s="400" t="s">
        <v>7101</v>
      </c>
      <c r="B56" s="390" t="s">
        <v>4216</v>
      </c>
      <c r="C56" s="387">
        <v>1520</v>
      </c>
      <c r="D56" s="390">
        <v>20000</v>
      </c>
      <c r="E56" s="392" t="s">
        <v>5267</v>
      </c>
      <c r="F56" s="391">
        <v>438</v>
      </c>
      <c r="G56" s="392">
        <f t="shared" si="62"/>
        <v>68536.783076239837</v>
      </c>
      <c r="H56" s="413">
        <f t="shared" si="63"/>
        <v>3.4703196347031962</v>
      </c>
      <c r="I56" s="393">
        <f t="shared" si="23"/>
        <v>3.4856879039704527</v>
      </c>
      <c r="J56" s="396">
        <f t="shared" si="64"/>
        <v>1.0044284881178016</v>
      </c>
      <c r="K56" s="396">
        <f t="shared" si="65"/>
        <v>-3.0008963077202466</v>
      </c>
      <c r="L56" s="396"/>
      <c r="M56" s="396"/>
      <c r="N56" s="396">
        <f t="shared" si="66"/>
        <v>0.99968111879681121</v>
      </c>
      <c r="O56" s="401">
        <f t="shared" si="67"/>
        <v>-1082</v>
      </c>
      <c r="P56" s="40"/>
      <c r="Q56">
        <f>Q47-136724</f>
        <v>141092</v>
      </c>
      <c r="R56">
        <f>R47-468562</f>
        <v>370285</v>
      </c>
    </row>
    <row r="57" spans="1:19">
      <c r="A57" s="385" t="s">
        <v>5768</v>
      </c>
      <c r="B57" s="385" t="s">
        <v>4354</v>
      </c>
      <c r="C57" s="384">
        <v>11624</v>
      </c>
      <c r="D57" s="385">
        <v>8930</v>
      </c>
      <c r="E57" s="392" t="s">
        <v>6992</v>
      </c>
      <c r="F57" s="391">
        <v>394</v>
      </c>
      <c r="G57" s="392">
        <f t="shared" si="0"/>
        <v>260156.73964975364</v>
      </c>
      <c r="H57" s="392">
        <f t="shared" si="1"/>
        <v>29.502538071065988</v>
      </c>
      <c r="I57" s="392">
        <f>$R$35/$R$32</f>
        <v>43.767313019390585</v>
      </c>
      <c r="J57" s="32">
        <f t="shared" si="2"/>
        <v>1.4835100937405274</v>
      </c>
      <c r="K57" s="32">
        <f t="shared" si="3"/>
        <v>-35.152302255349241</v>
      </c>
      <c r="L57" s="32"/>
      <c r="M57" s="32"/>
      <c r="N57" s="396">
        <v>1</v>
      </c>
      <c r="O57" s="40"/>
      <c r="P57" s="401" t="s">
        <v>25</v>
      </c>
      <c r="S57" t="s">
        <v>25</v>
      </c>
    </row>
    <row r="58" spans="1:19" ht="21">
      <c r="A58" s="385" t="s">
        <v>5769</v>
      </c>
      <c r="B58" s="385" t="s">
        <v>4354</v>
      </c>
      <c r="C58" s="384">
        <v>11612</v>
      </c>
      <c r="D58" s="385">
        <v>352</v>
      </c>
      <c r="E58" s="392" t="s">
        <v>6992</v>
      </c>
      <c r="F58" s="391">
        <v>389</v>
      </c>
      <c r="G58" s="392">
        <f t="shared" si="0"/>
        <v>10375.865470549827</v>
      </c>
      <c r="H58" s="392">
        <f t="shared" ref="H58:H66" si="68">C58/F58</f>
        <v>29.85089974293059</v>
      </c>
      <c r="I58" s="392">
        <f>$R$35/$R$32</f>
        <v>43.767313019390585</v>
      </c>
      <c r="J58" s="32">
        <f t="shared" ref="J58" si="69">I58/H58</f>
        <v>1.4661974478593642</v>
      </c>
      <c r="K58" s="402">
        <f t="shared" si="3"/>
        <v>-34.356361979759868</v>
      </c>
      <c r="L58" s="32" t="s">
        <v>25</v>
      </c>
      <c r="M58" s="32" t="s">
        <v>25</v>
      </c>
      <c r="N58" s="32">
        <f>H58/H57</f>
        <v>1.0118078543285145</v>
      </c>
      <c r="O58" s="40"/>
      <c r="P58" s="40" t="s">
        <v>25</v>
      </c>
    </row>
    <row r="59" spans="1:19" ht="21">
      <c r="A59" s="403" t="s">
        <v>6628</v>
      </c>
      <c r="B59" s="403" t="s">
        <v>5856</v>
      </c>
      <c r="C59" s="394">
        <v>3112</v>
      </c>
      <c r="D59" s="403">
        <v>200</v>
      </c>
      <c r="E59" s="390" t="s">
        <v>4216</v>
      </c>
      <c r="F59" s="390">
        <v>1613</v>
      </c>
      <c r="G59" s="390">
        <f t="shared" si="0"/>
        <v>381.03025333950779</v>
      </c>
      <c r="H59" s="390">
        <f t="shared" ref="H59:H61" si="70">C59/F59</f>
        <v>1.9293242405455673</v>
      </c>
      <c r="I59" s="390">
        <f>$R$30/$R$31</f>
        <v>2.052317880794702</v>
      </c>
      <c r="J59" s="32">
        <f t="shared" ref="J59:J66" si="71">I59/H59</f>
        <v>1.0637495956689764</v>
      </c>
      <c r="K59" s="402">
        <f t="shared" ref="K59:K66" si="72">(1/J59-1.0256)*100</f>
        <v>-8.5529137391479164</v>
      </c>
      <c r="L59" s="32" t="s">
        <v>25</v>
      </c>
      <c r="M59" s="32" t="s">
        <v>25</v>
      </c>
      <c r="N59" s="32">
        <v>1</v>
      </c>
      <c r="O59" s="40"/>
      <c r="P59" s="40"/>
      <c r="R59" t="s">
        <v>25</v>
      </c>
    </row>
    <row r="60" spans="1:19" ht="21">
      <c r="A60" s="403" t="s">
        <v>6628</v>
      </c>
      <c r="B60" s="403" t="s">
        <v>5856</v>
      </c>
      <c r="C60" s="394">
        <v>3178</v>
      </c>
      <c r="D60" s="403">
        <v>6860</v>
      </c>
      <c r="E60" s="392" t="s">
        <v>5267</v>
      </c>
      <c r="F60" s="392">
        <v>568.29999999999995</v>
      </c>
      <c r="G60" s="392">
        <f t="shared" si="0"/>
        <v>37881.275651587544</v>
      </c>
      <c r="H60" s="392">
        <f t="shared" si="70"/>
        <v>5.5921168396973435</v>
      </c>
      <c r="I60" s="392">
        <f>$R$30/$R$32</f>
        <v>7.1537396121883656</v>
      </c>
      <c r="J60" s="32">
        <f t="shared" si="71"/>
        <v>1.2792543176861699</v>
      </c>
      <c r="K60" s="402">
        <f t="shared" si="72"/>
        <v>-24.389460633853211</v>
      </c>
      <c r="L60" s="32" t="s">
        <v>25</v>
      </c>
      <c r="M60" s="32" t="s">
        <v>25</v>
      </c>
      <c r="N60" s="32">
        <v>1</v>
      </c>
      <c r="O60" s="40"/>
      <c r="P60" s="40"/>
      <c r="Q60" s="94"/>
    </row>
    <row r="61" spans="1:19" ht="21">
      <c r="A61" s="390" t="s">
        <v>7101</v>
      </c>
      <c r="B61" s="390" t="s">
        <v>4216</v>
      </c>
      <c r="C61" s="387">
        <v>1480</v>
      </c>
      <c r="D61" s="390">
        <v>10979.1</v>
      </c>
      <c r="E61" s="438" t="s">
        <v>4656</v>
      </c>
      <c r="F61" s="438">
        <v>776</v>
      </c>
      <c r="G61" s="438">
        <f t="shared" si="0"/>
        <v>20677.164258922981</v>
      </c>
      <c r="H61" s="438">
        <f t="shared" si="70"/>
        <v>1.9072164948453609</v>
      </c>
      <c r="I61" s="438">
        <f>$R$31/$R$36</f>
        <v>1.8898623279098874</v>
      </c>
      <c r="J61" s="32">
        <f t="shared" si="71"/>
        <v>0.99090078814734628</v>
      </c>
      <c r="K61" s="402">
        <f t="shared" si="72"/>
        <v>-1.6417232197719622</v>
      </c>
      <c r="L61" s="32" t="s">
        <v>25</v>
      </c>
      <c r="M61" s="32" t="s">
        <v>25</v>
      </c>
      <c r="N61" s="32">
        <v>1</v>
      </c>
      <c r="O61" s="40"/>
      <c r="P61" s="40"/>
      <c r="Q61" s="94"/>
      <c r="R61" s="94"/>
    </row>
    <row r="62" spans="1:19" ht="24" customHeight="1">
      <c r="A62" s="390" t="s">
        <v>7101</v>
      </c>
      <c r="B62" s="390" t="s">
        <v>4216</v>
      </c>
      <c r="C62" s="387">
        <v>1485</v>
      </c>
      <c r="D62" s="390">
        <v>4250</v>
      </c>
      <c r="E62" s="438" t="s">
        <v>4656</v>
      </c>
      <c r="F62" s="438">
        <v>779</v>
      </c>
      <c r="G62" s="438">
        <f t="shared" ref="G62:G65" si="73">C62*D62*0.99114/(F62*1.0037158)</f>
        <v>8000.224402877524</v>
      </c>
      <c r="H62" s="438">
        <f t="shared" ref="H62:H65" si="74">C62/F62</f>
        <v>1.9062901155327343</v>
      </c>
      <c r="I62" s="438">
        <f t="shared" ref="I62:I65" si="75">$R$31/$R$36</f>
        <v>1.8898623279098874</v>
      </c>
      <c r="J62" s="32">
        <f t="shared" ref="J62:J65" si="76">I62/H62</f>
        <v>0.99138232555003514</v>
      </c>
      <c r="K62" s="402">
        <f t="shared" ref="K62:K65" si="77">(1/J62-1.0256)*100</f>
        <v>-1.6907415688308225</v>
      </c>
      <c r="L62" s="32" t="s">
        <v>25</v>
      </c>
      <c r="M62" s="32" t="s">
        <v>25</v>
      </c>
      <c r="N62" s="32">
        <v>2</v>
      </c>
      <c r="O62" s="40"/>
      <c r="P62" s="40"/>
      <c r="Q62" s="94"/>
      <c r="R62" s="94"/>
    </row>
    <row r="63" spans="1:19" ht="21">
      <c r="A63" s="390" t="s">
        <v>7101</v>
      </c>
      <c r="B63" s="390" t="s">
        <v>4216</v>
      </c>
      <c r="C63" s="387">
        <v>1490</v>
      </c>
      <c r="D63" s="390">
        <v>17270</v>
      </c>
      <c r="E63" s="438" t="s">
        <v>4656</v>
      </c>
      <c r="F63" s="438">
        <v>783.3</v>
      </c>
      <c r="G63" s="438">
        <f t="shared" si="73"/>
        <v>32439.542625871571</v>
      </c>
      <c r="H63" s="438">
        <f t="shared" si="74"/>
        <v>1.9022086046214735</v>
      </c>
      <c r="I63" s="438">
        <f t="shared" si="75"/>
        <v>1.8898623279098874</v>
      </c>
      <c r="J63" s="32">
        <f t="shared" si="76"/>
        <v>0.9935095043300769</v>
      </c>
      <c r="K63" s="402">
        <f t="shared" si="77"/>
        <v>-1.9067102587710494</v>
      </c>
      <c r="L63" s="32" t="s">
        <v>25</v>
      </c>
      <c r="M63" s="32" t="s">
        <v>25</v>
      </c>
      <c r="N63" s="32">
        <v>3</v>
      </c>
      <c r="O63" s="40"/>
      <c r="P63" s="40"/>
      <c r="Q63" s="94"/>
      <c r="R63" s="94"/>
    </row>
    <row r="64" spans="1:19" ht="21">
      <c r="A64" s="390" t="s">
        <v>7101</v>
      </c>
      <c r="B64" s="390" t="s">
        <v>4216</v>
      </c>
      <c r="C64" s="387">
        <v>1500</v>
      </c>
      <c r="D64" s="390">
        <v>5494.3</v>
      </c>
      <c r="E64" s="438" t="s">
        <v>4656</v>
      </c>
      <c r="F64" s="438">
        <v>785</v>
      </c>
      <c r="G64" s="438">
        <f t="shared" si="73"/>
        <v>10367.12211896792</v>
      </c>
      <c r="H64" s="438">
        <f t="shared" si="74"/>
        <v>1.910828025477707</v>
      </c>
      <c r="I64" s="438">
        <f t="shared" si="75"/>
        <v>1.8898623279098874</v>
      </c>
      <c r="J64" s="32">
        <f t="shared" si="76"/>
        <v>0.9890279516061744</v>
      </c>
      <c r="K64" s="402">
        <f t="shared" si="77"/>
        <v>-1.4506230227359085</v>
      </c>
      <c r="L64" s="32" t="s">
        <v>25</v>
      </c>
      <c r="M64" s="32" t="s">
        <v>25</v>
      </c>
      <c r="N64" s="32">
        <v>4</v>
      </c>
      <c r="O64" s="40"/>
      <c r="P64" s="40"/>
      <c r="Q64" s="94"/>
      <c r="R64" s="94"/>
    </row>
    <row r="65" spans="1:20" ht="21">
      <c r="A65" s="390" t="s">
        <v>7102</v>
      </c>
      <c r="B65" s="390" t="s">
        <v>4216</v>
      </c>
      <c r="C65" s="387">
        <v>1505</v>
      </c>
      <c r="D65" s="390">
        <v>5283</v>
      </c>
      <c r="E65" s="438" t="s">
        <v>4656</v>
      </c>
      <c r="F65" s="438">
        <v>785</v>
      </c>
      <c r="G65" s="438">
        <f t="shared" si="73"/>
        <v>10001.651015602087</v>
      </c>
      <c r="H65" s="438">
        <f t="shared" si="74"/>
        <v>1.9171974522292994</v>
      </c>
      <c r="I65" s="438">
        <f t="shared" si="75"/>
        <v>1.8898623279098874</v>
      </c>
      <c r="J65" s="32">
        <f t="shared" si="76"/>
        <v>0.98574214445798114</v>
      </c>
      <c r="K65" s="402">
        <f t="shared" si="77"/>
        <v>-1.1135917661450279</v>
      </c>
      <c r="L65" s="32" t="s">
        <v>25</v>
      </c>
      <c r="M65" s="32" t="s">
        <v>25</v>
      </c>
      <c r="N65" s="32">
        <v>5</v>
      </c>
      <c r="O65" s="40"/>
      <c r="P65" s="40"/>
      <c r="Q65" s="94"/>
      <c r="R65" s="94"/>
      <c r="S65" s="94"/>
    </row>
    <row r="66" spans="1:20">
      <c r="A66" s="390" t="s">
        <v>6941</v>
      </c>
      <c r="B66" s="390" t="s">
        <v>4216</v>
      </c>
      <c r="C66" s="387">
        <v>1538.5</v>
      </c>
      <c r="D66" s="390">
        <v>1</v>
      </c>
      <c r="E66" s="404" t="s">
        <v>5799</v>
      </c>
      <c r="F66" s="404">
        <v>1353</v>
      </c>
      <c r="G66" s="404">
        <f>C66*D66*0.99114/(F66*1.0037158)</f>
        <v>1.1228556972348047</v>
      </c>
      <c r="H66" s="404">
        <f t="shared" si="68"/>
        <v>1.1371027346637104</v>
      </c>
      <c r="I66" s="404">
        <f>$R$31/$R$33</f>
        <v>1.0942028985507246</v>
      </c>
      <c r="J66" s="32">
        <f t="shared" si="71"/>
        <v>0.96227268231337681</v>
      </c>
      <c r="K66" s="32">
        <f t="shared" si="72"/>
        <v>1.3606472739020159</v>
      </c>
      <c r="L66" s="32"/>
      <c r="M66" s="32"/>
      <c r="N66" s="32">
        <v>1</v>
      </c>
      <c r="O66" s="401">
        <f>F66-C66</f>
        <v>-185.5</v>
      </c>
      <c r="P66" s="401">
        <f>R33-R31</f>
        <v>-130</v>
      </c>
      <c r="Q66" s="94"/>
      <c r="R66" s="94"/>
      <c r="S66" s="94"/>
    </row>
    <row r="67" spans="1:20">
      <c r="A67" s="94"/>
      <c r="B67" s="113"/>
      <c r="C67" s="113"/>
      <c r="D67" s="94"/>
      <c r="E67" s="94"/>
      <c r="F67" s="94"/>
      <c r="G67" s="94"/>
      <c r="H67" s="94"/>
      <c r="I67" s="94"/>
      <c r="J67" s="94"/>
      <c r="K67" s="94"/>
      <c r="L67" s="94"/>
      <c r="M67" s="94"/>
      <c r="N67" s="94"/>
      <c r="Q67" s="94"/>
      <c r="R67" s="94"/>
      <c r="S67" s="94"/>
    </row>
    <row r="68" spans="1:20">
      <c r="A68" s="465" t="s">
        <v>7080</v>
      </c>
      <c r="B68" s="347" t="s">
        <v>1068</v>
      </c>
      <c r="C68" s="44">
        <v>11500000</v>
      </c>
      <c r="D68" s="347">
        <v>1</v>
      </c>
      <c r="E68" s="273" t="s">
        <v>4216</v>
      </c>
      <c r="F68" s="274">
        <v>1349.5</v>
      </c>
      <c r="G68" s="273">
        <f>C68*D68*0.99875/(F68*1.0037158)</f>
        <v>8479.5144212767409</v>
      </c>
      <c r="H68" s="466">
        <f>C68/F68</f>
        <v>8521.6746943312337</v>
      </c>
      <c r="I68" s="467">
        <f>$R$37/$R$31</f>
        <v>8874.1721854304633</v>
      </c>
      <c r="J68" s="20">
        <f>I68/H68</f>
        <v>1.041364814281601</v>
      </c>
      <c r="K68" s="20">
        <f>(1/J68-1.0153)*100</f>
        <v>-5.502173220595818</v>
      </c>
      <c r="L68" s="20"/>
      <c r="M68" s="20"/>
      <c r="N68" s="20">
        <f>1</f>
        <v>1</v>
      </c>
      <c r="O68" s="473"/>
      <c r="P68" s="473"/>
      <c r="Q68" s="94"/>
      <c r="R68" s="94"/>
      <c r="S68" s="94"/>
    </row>
    <row r="69" spans="1:20">
      <c r="A69" s="465" t="s">
        <v>7078</v>
      </c>
      <c r="B69" s="347" t="s">
        <v>1068</v>
      </c>
      <c r="C69" s="44">
        <v>12700000</v>
      </c>
      <c r="D69" s="347">
        <v>1</v>
      </c>
      <c r="E69" s="273" t="s">
        <v>4216</v>
      </c>
      <c r="F69" s="274">
        <v>1386</v>
      </c>
      <c r="G69" s="273">
        <f>C69*D69*0.99875/(F69*1.0037158)</f>
        <v>9117.725693971679</v>
      </c>
      <c r="H69" s="466">
        <f>C69/F69</f>
        <v>9163.0591630591625</v>
      </c>
      <c r="I69" s="467">
        <f t="shared" ref="I69:I70" si="78">$R$37/$R$31</f>
        <v>8874.1721854304633</v>
      </c>
      <c r="J69" s="20">
        <f t="shared" ref="J69:J70" si="79">I69/H69</f>
        <v>0.96847264952808054</v>
      </c>
      <c r="K69" s="20">
        <f t="shared" ref="K69:K70" si="80">(1/J69-1.0153)*100</f>
        <v>1.7253681807412935</v>
      </c>
      <c r="L69" s="20"/>
      <c r="M69" s="20"/>
      <c r="N69" s="20">
        <f>1</f>
        <v>1</v>
      </c>
      <c r="O69" s="473"/>
      <c r="P69" s="473"/>
      <c r="Q69" s="94"/>
      <c r="R69" s="94"/>
      <c r="S69" s="94"/>
      <c r="T69" s="94"/>
    </row>
    <row r="70" spans="1:20">
      <c r="A70" s="465"/>
      <c r="B70" s="347"/>
      <c r="C70" s="44"/>
      <c r="D70" s="347"/>
      <c r="E70" s="273" t="s">
        <v>4216</v>
      </c>
      <c r="F70" s="274">
        <v>0</v>
      </c>
      <c r="G70" s="273" t="e">
        <f>C70*D70*0.99875/(F70*1.0037158)</f>
        <v>#DIV/0!</v>
      </c>
      <c r="H70" s="466" t="e">
        <f t="shared" ref="H70" si="81">C70/F70</f>
        <v>#DIV/0!</v>
      </c>
      <c r="I70" s="467">
        <f t="shared" si="78"/>
        <v>8874.1721854304633</v>
      </c>
      <c r="J70" s="20" t="e">
        <f t="shared" si="79"/>
        <v>#DIV/0!</v>
      </c>
      <c r="K70" s="20" t="e">
        <f t="shared" si="80"/>
        <v>#DIV/0!</v>
      </c>
      <c r="L70" s="20"/>
      <c r="M70" s="20"/>
      <c r="N70" s="20">
        <f>1</f>
        <v>1</v>
      </c>
      <c r="O70" s="473"/>
      <c r="P70" s="473"/>
      <c r="Q70" s="94"/>
      <c r="R70" s="94"/>
      <c r="S70" s="94"/>
      <c r="T70" s="94"/>
    </row>
    <row r="71" spans="1:20">
      <c r="A71" s="94"/>
      <c r="B71" s="94"/>
      <c r="C71" s="94"/>
      <c r="D71" s="94"/>
      <c r="E71" s="94"/>
      <c r="F71" s="94" t="s">
        <v>25</v>
      </c>
      <c r="G71" s="94"/>
      <c r="H71" s="94"/>
      <c r="I71" s="94"/>
      <c r="J71" s="94"/>
      <c r="K71" s="94"/>
      <c r="L71" s="94"/>
      <c r="M71" s="94"/>
      <c r="N71" s="94"/>
      <c r="Q71" s="94"/>
      <c r="R71" s="94" t="s">
        <v>25</v>
      </c>
      <c r="S71" s="94"/>
      <c r="T71" s="94"/>
    </row>
    <row r="72" spans="1:20" ht="27.75" customHeight="1">
      <c r="A72" s="113"/>
      <c r="B72" s="113"/>
      <c r="C72" s="113"/>
      <c r="D72" s="113"/>
      <c r="E72" s="113"/>
      <c r="F72" s="113"/>
      <c r="G72" s="113"/>
      <c r="H72" s="113"/>
      <c r="I72" s="113"/>
      <c r="J72" s="113"/>
      <c r="K72" s="113"/>
      <c r="L72" s="113"/>
      <c r="M72" s="113"/>
      <c r="N72" s="113"/>
      <c r="Q72" s="94"/>
      <c r="R72" s="94"/>
      <c r="S72" s="94"/>
      <c r="T72" s="94"/>
    </row>
    <row r="73" spans="1:20">
      <c r="A73" s="97" t="s">
        <v>5516</v>
      </c>
      <c r="B73" s="97"/>
      <c r="C73" s="97" t="s">
        <v>933</v>
      </c>
      <c r="D73" s="97" t="s">
        <v>6495</v>
      </c>
      <c r="E73" s="97"/>
      <c r="F73" s="97" t="s">
        <v>933</v>
      </c>
      <c r="G73" s="97" t="s">
        <v>6496</v>
      </c>
      <c r="H73" s="97"/>
      <c r="I73" s="97"/>
      <c r="J73" s="97"/>
      <c r="K73" s="97"/>
      <c r="L73" s="97" t="s">
        <v>936</v>
      </c>
      <c r="M73" s="97" t="s">
        <v>5</v>
      </c>
      <c r="N73" s="97" t="s">
        <v>6497</v>
      </c>
      <c r="P73" t="s">
        <v>6498</v>
      </c>
      <c r="Q73" s="94"/>
      <c r="R73" s="94"/>
      <c r="S73" s="94"/>
      <c r="T73" s="94"/>
    </row>
    <row r="74" spans="1:20">
      <c r="A74" s="97" t="s">
        <v>5506</v>
      </c>
      <c r="B74" s="97" t="s">
        <v>6494</v>
      </c>
      <c r="C74" s="97">
        <v>17800</v>
      </c>
      <c r="D74" s="97">
        <v>916</v>
      </c>
      <c r="E74" s="97" t="s">
        <v>4354</v>
      </c>
      <c r="F74" s="97">
        <v>16472</v>
      </c>
      <c r="G74" s="97">
        <v>916</v>
      </c>
      <c r="H74" s="97"/>
      <c r="I74" s="97"/>
      <c r="J74" s="97"/>
      <c r="K74" s="97"/>
      <c r="L74" s="93">
        <v>987467</v>
      </c>
      <c r="M74" s="93">
        <f>L74/2</f>
        <v>493733.5</v>
      </c>
      <c r="N74" s="97" t="s">
        <v>5506</v>
      </c>
      <c r="P74">
        <v>1086</v>
      </c>
      <c r="Q74" s="94"/>
      <c r="R74" s="94"/>
      <c r="S74" s="94"/>
      <c r="T74" s="94"/>
    </row>
    <row r="75" spans="1:20" ht="27.75" customHeight="1">
      <c r="A75" s="271" t="s">
        <v>5729</v>
      </c>
      <c r="B75" s="339" t="s">
        <v>6573</v>
      </c>
      <c r="C75" s="271">
        <v>21532</v>
      </c>
      <c r="D75" s="271">
        <v>1859</v>
      </c>
      <c r="E75" s="273" t="s">
        <v>6501</v>
      </c>
      <c r="F75" s="273">
        <v>1187</v>
      </c>
      <c r="G75" s="273">
        <f t="shared" ref="G75:G81" si="82">C75*D75*0.99114/(F75*1.0037158)</f>
        <v>33299.467209851166</v>
      </c>
      <c r="H75" s="273">
        <f t="shared" ref="H75:H81" si="83">C75/F75</f>
        <v>18.139848357203032</v>
      </c>
      <c r="I75" s="273">
        <f t="shared" ref="I75:I80" si="84">$R$34/$R$31</f>
        <v>16.158940397350992</v>
      </c>
      <c r="J75" s="97">
        <f t="shared" ref="J75:J81" si="85">I75/H75</f>
        <v>0.89079798679433531</v>
      </c>
      <c r="K75" s="97">
        <f t="shared" ref="K75:K81" si="86">(1/J75-1.0256)*100</f>
        <v>9.6988976203958188</v>
      </c>
      <c r="L75" s="93">
        <v>1600000</v>
      </c>
      <c r="M75" s="93">
        <f t="shared" ref="M75:M84" si="87">L75/2</f>
        <v>800000</v>
      </c>
      <c r="N75" s="97" t="s">
        <v>6492</v>
      </c>
      <c r="Q75" s="94" t="s">
        <v>25</v>
      </c>
      <c r="R75" s="94"/>
      <c r="S75" s="94"/>
      <c r="T75" s="94"/>
    </row>
    <row r="76" spans="1:20">
      <c r="A76" s="271" t="s">
        <v>5734</v>
      </c>
      <c r="B76" s="271" t="s">
        <v>6500</v>
      </c>
      <c r="C76" s="271">
        <v>22420.1</v>
      </c>
      <c r="D76" s="286">
        <v>1000</v>
      </c>
      <c r="E76" s="273" t="s">
        <v>6502</v>
      </c>
      <c r="F76" s="273">
        <v>1161</v>
      </c>
      <c r="G76" s="273">
        <f t="shared" si="82"/>
        <v>19069.072437793271</v>
      </c>
      <c r="H76" s="273">
        <f t="shared" si="83"/>
        <v>19.311024978466836</v>
      </c>
      <c r="I76" s="273">
        <f t="shared" si="84"/>
        <v>16.158940397350992</v>
      </c>
      <c r="J76" s="97">
        <f t="shared" si="85"/>
        <v>0.83677279768263768</v>
      </c>
      <c r="K76" s="97">
        <f t="shared" si="86"/>
        <v>16.946752940511978</v>
      </c>
      <c r="L76" s="93">
        <v>19462210</v>
      </c>
      <c r="M76" s="93">
        <f t="shared" si="87"/>
        <v>9731105</v>
      </c>
      <c r="N76" s="97" t="s">
        <v>6486</v>
      </c>
      <c r="Q76" s="94"/>
      <c r="R76" s="94"/>
      <c r="S76" s="94"/>
      <c r="T76" s="94"/>
    </row>
    <row r="77" spans="1:20">
      <c r="A77" s="271" t="s">
        <v>5735</v>
      </c>
      <c r="B77" s="271" t="s">
        <v>6500</v>
      </c>
      <c r="C77" s="271">
        <v>23233.1</v>
      </c>
      <c r="D77" s="286">
        <v>1000</v>
      </c>
      <c r="E77" s="273" t="s">
        <v>6502</v>
      </c>
      <c r="F77" s="273">
        <v>1152</v>
      </c>
      <c r="G77" s="273">
        <f t="shared" si="82"/>
        <v>19914.936480069027</v>
      </c>
      <c r="H77" s="273">
        <f t="shared" si="83"/>
        <v>20.167621527777776</v>
      </c>
      <c r="I77" s="273">
        <f t="shared" si="84"/>
        <v>16.158940397350992</v>
      </c>
      <c r="J77" s="97">
        <f t="shared" si="85"/>
        <v>0.80123183465608749</v>
      </c>
      <c r="K77" s="97">
        <f t="shared" si="86"/>
        <v>22.247821749772289</v>
      </c>
      <c r="L77" s="93">
        <v>0</v>
      </c>
      <c r="M77" s="93">
        <f t="shared" si="87"/>
        <v>0</v>
      </c>
      <c r="N77" s="97" t="s">
        <v>6486</v>
      </c>
      <c r="Q77" s="94"/>
      <c r="R77" s="94"/>
      <c r="S77" s="94"/>
      <c r="T77" s="94"/>
    </row>
    <row r="78" spans="1:20">
      <c r="A78" s="271" t="s">
        <v>5737</v>
      </c>
      <c r="B78" s="271" t="s">
        <v>6500</v>
      </c>
      <c r="C78" s="271">
        <v>23900</v>
      </c>
      <c r="D78" s="286">
        <v>1000</v>
      </c>
      <c r="E78" s="273" t="s">
        <v>6503</v>
      </c>
      <c r="F78" s="273">
        <v>1153</v>
      </c>
      <c r="G78" s="273">
        <f t="shared" si="82"/>
        <v>20468.821398374203</v>
      </c>
      <c r="H78" s="273">
        <f t="shared" si="83"/>
        <v>20.7285342584562</v>
      </c>
      <c r="I78" s="273">
        <f t="shared" si="84"/>
        <v>16.158940397350992</v>
      </c>
      <c r="J78" s="97">
        <f t="shared" si="85"/>
        <v>0.77955055557094954</v>
      </c>
      <c r="K78" s="97">
        <f t="shared" si="86"/>
        <v>25.719043976511745</v>
      </c>
      <c r="L78" s="93">
        <v>0</v>
      </c>
      <c r="M78" s="93">
        <f t="shared" si="87"/>
        <v>0</v>
      </c>
      <c r="N78" s="97" t="s">
        <v>6486</v>
      </c>
      <c r="P78" t="s">
        <v>25</v>
      </c>
      <c r="Q78" s="94"/>
      <c r="R78" s="94"/>
      <c r="S78" s="94"/>
      <c r="T78" s="94"/>
    </row>
    <row r="79" spans="1:20">
      <c r="A79" s="271" t="s">
        <v>5747</v>
      </c>
      <c r="B79" s="271" t="s">
        <v>6500</v>
      </c>
      <c r="C79" s="271">
        <v>22500</v>
      </c>
      <c r="D79" s="286">
        <v>2000</v>
      </c>
      <c r="E79" s="273" t="s">
        <v>6502</v>
      </c>
      <c r="F79" s="273">
        <v>1093</v>
      </c>
      <c r="G79" s="273">
        <f t="shared" si="82"/>
        <v>40655.246136679802</v>
      </c>
      <c r="H79" s="273">
        <f t="shared" si="83"/>
        <v>20.585544373284538</v>
      </c>
      <c r="I79" s="273">
        <f t="shared" si="84"/>
        <v>16.158940397350992</v>
      </c>
      <c r="J79" s="97">
        <f t="shared" si="85"/>
        <v>0.78496541574687262</v>
      </c>
      <c r="K79" s="97">
        <f t="shared" si="86"/>
        <v>24.834147555982188</v>
      </c>
      <c r="L79" s="93">
        <v>0</v>
      </c>
      <c r="M79" s="93">
        <f t="shared" si="87"/>
        <v>0</v>
      </c>
      <c r="N79" s="97" t="s">
        <v>6486</v>
      </c>
      <c r="Q79" s="94"/>
      <c r="R79" s="94" t="s">
        <v>25</v>
      </c>
      <c r="S79" s="94"/>
      <c r="T79" s="94"/>
    </row>
    <row r="80" spans="1:20">
      <c r="A80" s="271" t="s">
        <v>6470</v>
      </c>
      <c r="B80" s="271" t="s">
        <v>6499</v>
      </c>
      <c r="C80" s="271">
        <v>23706</v>
      </c>
      <c r="D80" s="286">
        <v>1000</v>
      </c>
      <c r="E80" s="273" t="s">
        <v>4216</v>
      </c>
      <c r="F80" s="273">
        <v>1155</v>
      </c>
      <c r="G80" s="273">
        <f t="shared" si="82"/>
        <v>20267.516662882761</v>
      </c>
      <c r="H80" s="273">
        <f t="shared" si="83"/>
        <v>20.524675324675325</v>
      </c>
      <c r="I80" s="273">
        <f t="shared" si="84"/>
        <v>16.158940397350992</v>
      </c>
      <c r="J80" s="97">
        <f t="shared" si="85"/>
        <v>0.78729335016200097</v>
      </c>
      <c r="K80" s="97">
        <f t="shared" si="86"/>
        <v>24.457457951884187</v>
      </c>
      <c r="L80" s="93">
        <v>0</v>
      </c>
      <c r="M80" s="93">
        <f t="shared" si="87"/>
        <v>0</v>
      </c>
      <c r="N80" s="97" t="s">
        <v>6486</v>
      </c>
      <c r="Q80" s="94"/>
      <c r="R80" s="94" t="s">
        <v>25</v>
      </c>
      <c r="S80" s="94"/>
      <c r="T80" s="94"/>
    </row>
    <row r="81" spans="1:26">
      <c r="A81" s="60" t="s">
        <v>6470</v>
      </c>
      <c r="B81" s="60" t="s">
        <v>4354</v>
      </c>
      <c r="C81" s="60">
        <v>16794</v>
      </c>
      <c r="D81" s="60">
        <v>2227</v>
      </c>
      <c r="E81" s="273" t="s">
        <v>4216</v>
      </c>
      <c r="F81" s="273">
        <v>1146.6500000000001</v>
      </c>
      <c r="G81" s="273">
        <f t="shared" si="82"/>
        <v>32208.294857700886</v>
      </c>
      <c r="H81" s="273">
        <f t="shared" si="83"/>
        <v>14.646143112545239</v>
      </c>
      <c r="I81" s="273">
        <f>$R$35/$R$31</f>
        <v>12.556291390728477</v>
      </c>
      <c r="J81" s="97">
        <f t="shared" si="85"/>
        <v>0.85731043963194054</v>
      </c>
      <c r="K81" s="97">
        <f t="shared" si="86"/>
        <v>14.083861286620824</v>
      </c>
      <c r="L81" s="93">
        <v>3219484</v>
      </c>
      <c r="M81" s="93">
        <f t="shared" si="87"/>
        <v>1609742</v>
      </c>
      <c r="N81" s="97" t="s">
        <v>6476</v>
      </c>
      <c r="P81" t="s">
        <v>25</v>
      </c>
      <c r="Q81" s="94"/>
      <c r="R81" s="94" t="s">
        <v>25</v>
      </c>
      <c r="S81" s="94"/>
      <c r="T81" s="94"/>
    </row>
    <row r="82" spans="1:26">
      <c r="A82" s="20" t="s">
        <v>6580</v>
      </c>
      <c r="B82" s="20" t="s">
        <v>6581</v>
      </c>
      <c r="C82" s="20">
        <v>21350</v>
      </c>
      <c r="D82" s="20">
        <v>639</v>
      </c>
      <c r="E82" s="20" t="s">
        <v>4358</v>
      </c>
      <c r="F82" s="20">
        <v>20666.599999999999</v>
      </c>
      <c r="G82" s="20">
        <v>639</v>
      </c>
      <c r="H82" s="20"/>
      <c r="I82" s="20"/>
      <c r="J82" s="20"/>
      <c r="K82" s="20"/>
      <c r="L82" s="344">
        <v>268731</v>
      </c>
      <c r="M82" s="344">
        <f t="shared" si="87"/>
        <v>134365.5</v>
      </c>
      <c r="N82" s="20" t="s">
        <v>6580</v>
      </c>
      <c r="Q82" s="94"/>
      <c r="R82" s="94" t="s">
        <v>25</v>
      </c>
      <c r="S82" s="94"/>
      <c r="T82" s="94"/>
    </row>
    <row r="83" spans="1:26">
      <c r="A83" s="97" t="s">
        <v>6590</v>
      </c>
      <c r="B83" s="97" t="s">
        <v>6592</v>
      </c>
      <c r="C83" s="97">
        <v>1286.5</v>
      </c>
      <c r="D83" s="97">
        <v>12000</v>
      </c>
      <c r="E83" s="97" t="s">
        <v>4216</v>
      </c>
      <c r="F83" s="97"/>
      <c r="G83" s="97"/>
      <c r="H83" s="97"/>
      <c r="I83" s="97"/>
      <c r="J83" s="97"/>
      <c r="K83" s="97"/>
      <c r="L83" s="344"/>
      <c r="M83" s="344">
        <f t="shared" si="87"/>
        <v>0</v>
      </c>
      <c r="N83" s="97"/>
      <c r="P83" t="s">
        <v>25</v>
      </c>
      <c r="Q83" s="94" t="s">
        <v>25</v>
      </c>
      <c r="R83" s="94" t="s">
        <v>25</v>
      </c>
      <c r="S83" s="94"/>
      <c r="T83" s="94"/>
    </row>
    <row r="84" spans="1:26" ht="30">
      <c r="A84" s="97" t="s">
        <v>6591</v>
      </c>
      <c r="B84" s="97" t="s">
        <v>6592</v>
      </c>
      <c r="C84" s="97">
        <v>1275</v>
      </c>
      <c r="D84" s="97">
        <v>9000</v>
      </c>
      <c r="E84" s="97" t="s">
        <v>4216</v>
      </c>
      <c r="F84" s="97">
        <v>1314</v>
      </c>
      <c r="G84" s="97">
        <v>9000</v>
      </c>
      <c r="H84" s="97"/>
      <c r="I84" s="97"/>
      <c r="J84" s="97"/>
      <c r="K84" s="97"/>
      <c r="L84" s="344">
        <v>191456</v>
      </c>
      <c r="M84" s="344">
        <f t="shared" si="87"/>
        <v>95728</v>
      </c>
      <c r="N84" s="36" t="s">
        <v>6606</v>
      </c>
      <c r="Q84" s="94" t="s">
        <v>25</v>
      </c>
      <c r="R84" s="94" t="s">
        <v>25</v>
      </c>
      <c r="S84" s="94"/>
      <c r="T84" s="94"/>
    </row>
    <row r="85" spans="1:26">
      <c r="A85" s="97" t="s">
        <v>6591</v>
      </c>
      <c r="B85" s="97" t="s">
        <v>6581</v>
      </c>
      <c r="C85" s="97">
        <v>19703</v>
      </c>
      <c r="D85" s="97">
        <v>210</v>
      </c>
      <c r="E85" s="97" t="s">
        <v>4358</v>
      </c>
      <c r="F85" s="97">
        <v>20548.900000000001</v>
      </c>
      <c r="G85" s="97">
        <v>210</v>
      </c>
      <c r="H85" s="97"/>
      <c r="I85" s="97"/>
      <c r="J85" s="97"/>
      <c r="K85" s="97"/>
      <c r="L85" s="344">
        <v>124637</v>
      </c>
      <c r="M85" s="344">
        <f>L85/2</f>
        <v>62318.5</v>
      </c>
      <c r="N85" s="97" t="s">
        <v>6593</v>
      </c>
      <c r="Q85" s="94" t="s">
        <v>25</v>
      </c>
      <c r="R85" s="94" t="s">
        <v>25</v>
      </c>
      <c r="S85" s="94"/>
      <c r="T85" s="94"/>
    </row>
    <row r="86" spans="1:26">
      <c r="A86" s="97" t="s">
        <v>6593</v>
      </c>
      <c r="B86" s="97" t="s">
        <v>6592</v>
      </c>
      <c r="C86" s="97">
        <v>1266.5</v>
      </c>
      <c r="D86" s="97">
        <v>8000</v>
      </c>
      <c r="E86" s="97" t="s">
        <v>4216</v>
      </c>
      <c r="F86" s="97">
        <v>1301</v>
      </c>
      <c r="G86" s="97">
        <v>8000</v>
      </c>
      <c r="H86" s="97"/>
      <c r="I86" s="97"/>
      <c r="J86" s="97"/>
      <c r="K86" s="97"/>
      <c r="L86" s="344">
        <v>146805</v>
      </c>
      <c r="M86" s="344">
        <f>L86/2</f>
        <v>73402.5</v>
      </c>
      <c r="N86" s="97" t="s">
        <v>6593</v>
      </c>
      <c r="P86" t="s">
        <v>25</v>
      </c>
      <c r="Q86" s="94" t="s">
        <v>25</v>
      </c>
      <c r="R86" s="112" t="s">
        <v>25</v>
      </c>
      <c r="S86" s="94" t="s">
        <v>25</v>
      </c>
      <c r="T86" s="94"/>
    </row>
    <row r="87" spans="1:26" ht="30">
      <c r="A87" s="36" t="s">
        <v>6607</v>
      </c>
      <c r="B87" s="97" t="s">
        <v>6592</v>
      </c>
      <c r="C87" s="97" t="s">
        <v>6608</v>
      </c>
      <c r="D87" s="97">
        <v>21000</v>
      </c>
      <c r="E87" s="97" t="s">
        <v>4216</v>
      </c>
      <c r="F87" s="97">
        <v>1312</v>
      </c>
      <c r="G87" s="97">
        <v>21000</v>
      </c>
      <c r="H87" s="97"/>
      <c r="I87" s="97"/>
      <c r="J87" s="97"/>
      <c r="K87" s="97"/>
      <c r="L87" s="344">
        <v>345822</v>
      </c>
      <c r="M87" s="344">
        <f>L87/2</f>
        <v>172911</v>
      </c>
      <c r="N87" s="97" t="s">
        <v>6609</v>
      </c>
      <c r="Q87" s="94" t="s">
        <v>25</v>
      </c>
      <c r="R87" s="112" t="s">
        <v>25</v>
      </c>
      <c r="S87" s="94" t="s">
        <v>25</v>
      </c>
      <c r="T87" s="94"/>
    </row>
    <row r="88" spans="1:26">
      <c r="A88" s="97"/>
      <c r="B88" s="97"/>
      <c r="C88" s="97"/>
      <c r="D88" s="97"/>
      <c r="E88" s="97"/>
      <c r="F88" s="97"/>
      <c r="G88" s="97"/>
      <c r="H88" s="97"/>
      <c r="I88" s="97"/>
      <c r="J88" s="97"/>
      <c r="K88" s="97" t="s">
        <v>25</v>
      </c>
      <c r="L88" s="344"/>
      <c r="M88" s="344"/>
      <c r="N88" s="97"/>
      <c r="P88" t="s">
        <v>25</v>
      </c>
      <c r="Q88" s="94" t="s">
        <v>25</v>
      </c>
      <c r="R88" s="112"/>
      <c r="S88" s="120" t="s">
        <v>25</v>
      </c>
      <c r="T88" s="94"/>
    </row>
    <row r="89" spans="1:26">
      <c r="A89" s="94"/>
      <c r="N89" s="94"/>
      <c r="P89" t="s">
        <v>25</v>
      </c>
      <c r="Q89" s="94"/>
      <c r="R89" s="94"/>
      <c r="S89" s="94" t="s">
        <v>25</v>
      </c>
      <c r="T89" s="94"/>
    </row>
    <row r="90" spans="1:26">
      <c r="A90" s="94"/>
      <c r="Q90" s="94"/>
      <c r="R90" s="94"/>
      <c r="S90" s="94" t="s">
        <v>25</v>
      </c>
      <c r="T90" s="94"/>
    </row>
    <row r="91" spans="1:26">
      <c r="A91" s="97" t="s">
        <v>6487</v>
      </c>
      <c r="B91" s="97"/>
      <c r="C91" s="97" t="s">
        <v>920</v>
      </c>
      <c r="D91" s="97" t="s">
        <v>933</v>
      </c>
      <c r="E91" s="97" t="s">
        <v>920</v>
      </c>
      <c r="F91" s="97" t="s">
        <v>933</v>
      </c>
      <c r="G91" s="97" t="s">
        <v>936</v>
      </c>
      <c r="H91" s="97" t="s">
        <v>5</v>
      </c>
      <c r="I91" s="97" t="s">
        <v>6603</v>
      </c>
      <c r="J91" s="97"/>
      <c r="K91" s="97"/>
      <c r="L91" s="97"/>
      <c r="M91" s="97"/>
      <c r="N91" s="97"/>
      <c r="Q91" s="94"/>
      <c r="S91" s="94"/>
      <c r="T91" s="94"/>
    </row>
    <row r="92" spans="1:26">
      <c r="A92" s="97" t="s">
        <v>6486</v>
      </c>
      <c r="B92" s="97" t="s">
        <v>4216</v>
      </c>
      <c r="C92" s="97">
        <v>33874</v>
      </c>
      <c r="D92" s="112">
        <v>1240</v>
      </c>
      <c r="E92" s="97">
        <v>33874</v>
      </c>
      <c r="F92" s="93">
        <v>1278</v>
      </c>
      <c r="G92" s="93">
        <v>750337</v>
      </c>
      <c r="H92" s="93">
        <f>G92/2</f>
        <v>375168.5</v>
      </c>
      <c r="I92" s="97">
        <v>0</v>
      </c>
      <c r="J92" s="97"/>
      <c r="K92" s="97"/>
      <c r="L92" s="97"/>
      <c r="M92" s="97"/>
      <c r="N92" s="97"/>
      <c r="P92" s="94"/>
      <c r="Q92" s="94"/>
      <c r="S92" s="94"/>
      <c r="T92" s="94"/>
    </row>
    <row r="93" spans="1:26">
      <c r="A93" s="97" t="s">
        <v>6492</v>
      </c>
      <c r="B93" s="97" t="s">
        <v>4216</v>
      </c>
      <c r="C93" s="97">
        <v>33274</v>
      </c>
      <c r="D93" s="97">
        <v>1291</v>
      </c>
      <c r="E93" s="97">
        <v>33274</v>
      </c>
      <c r="F93" s="97">
        <v>1314.3</v>
      </c>
      <c r="G93" s="93">
        <v>229922</v>
      </c>
      <c r="H93" s="93">
        <f>G93/2</f>
        <v>114961</v>
      </c>
      <c r="I93" s="97">
        <v>0</v>
      </c>
      <c r="J93" s="97" t="s">
        <v>25</v>
      </c>
      <c r="K93" s="97"/>
      <c r="L93" s="97"/>
      <c r="M93" s="97"/>
      <c r="N93" s="97"/>
      <c r="P93" s="94"/>
      <c r="S93" s="94"/>
      <c r="T93" s="94"/>
    </row>
    <row r="94" spans="1:26">
      <c r="A94" s="97" t="s">
        <v>6584</v>
      </c>
      <c r="B94" s="97" t="s">
        <v>4216</v>
      </c>
      <c r="C94" s="97">
        <v>2838</v>
      </c>
      <c r="D94" s="97">
        <v>1302</v>
      </c>
      <c r="E94" s="97">
        <v>2838</v>
      </c>
      <c r="F94" s="97">
        <v>1320</v>
      </c>
      <c r="G94" s="93">
        <v>4540</v>
      </c>
      <c r="H94" s="93">
        <f>G94/2</f>
        <v>2270</v>
      </c>
      <c r="I94" s="97">
        <v>0</v>
      </c>
      <c r="J94" s="97"/>
      <c r="K94" s="97"/>
      <c r="L94" s="97"/>
      <c r="M94" s="97"/>
      <c r="N94" s="97"/>
      <c r="P94" s="94"/>
      <c r="S94" s="94"/>
      <c r="T94" s="94"/>
    </row>
    <row r="95" spans="1:26">
      <c r="A95" s="20" t="s">
        <v>6584</v>
      </c>
      <c r="B95" s="20" t="s">
        <v>4216</v>
      </c>
      <c r="C95" s="20">
        <v>28000</v>
      </c>
      <c r="D95" s="20">
        <v>1302</v>
      </c>
      <c r="E95" s="20">
        <v>28000</v>
      </c>
      <c r="F95" s="20">
        <v>1345</v>
      </c>
      <c r="G95" s="93">
        <v>737130</v>
      </c>
      <c r="H95" s="93">
        <f>G95/2</f>
        <v>368565</v>
      </c>
      <c r="I95" s="20" t="s">
        <v>6589</v>
      </c>
      <c r="J95" s="20"/>
      <c r="K95" s="97"/>
      <c r="L95" s="97"/>
      <c r="M95" s="97"/>
      <c r="N95" s="97"/>
      <c r="P95" s="94"/>
    </row>
    <row r="96" spans="1:26">
      <c r="A96" s="159" t="s">
        <v>6589</v>
      </c>
      <c r="B96" s="159" t="s">
        <v>4216</v>
      </c>
      <c r="C96" s="159">
        <v>28000</v>
      </c>
      <c r="D96" s="159">
        <v>1306.5</v>
      </c>
      <c r="E96" s="159">
        <v>28000</v>
      </c>
      <c r="F96" s="159">
        <v>1358.5</v>
      </c>
      <c r="G96" s="159">
        <v>985488</v>
      </c>
      <c r="H96" s="159">
        <f>G96/2</f>
        <v>492744</v>
      </c>
      <c r="I96" s="97" t="s">
        <v>6602</v>
      </c>
      <c r="J96" s="97"/>
      <c r="K96" s="97"/>
      <c r="L96" s="97"/>
      <c r="M96" s="97"/>
      <c r="N96" s="97"/>
      <c r="O96" s="94"/>
      <c r="P96" s="94"/>
      <c r="R96" t="s">
        <v>25</v>
      </c>
      <c r="Z96" t="s">
        <v>25</v>
      </c>
    </row>
    <row r="97" spans="1:27">
      <c r="A97" s="97"/>
      <c r="B97" s="97"/>
      <c r="C97" s="97"/>
      <c r="D97" s="97"/>
      <c r="E97" s="97"/>
      <c r="F97" s="97"/>
      <c r="G97" s="97"/>
      <c r="H97" s="97"/>
      <c r="I97" s="97"/>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O99" s="94"/>
      <c r="P99" s="94"/>
      <c r="Q99" t="s">
        <v>25</v>
      </c>
      <c r="AA99" t="s">
        <v>25</v>
      </c>
    </row>
    <row r="100" spans="1:27">
      <c r="O100" s="94"/>
      <c r="P100" s="94"/>
    </row>
    <row r="101" spans="1:27">
      <c r="O101" s="94"/>
      <c r="P101" s="94"/>
    </row>
    <row r="102" spans="1:27">
      <c r="A102" s="94"/>
      <c r="B102" s="94"/>
      <c r="C102" s="94"/>
      <c r="D102" s="94"/>
      <c r="E102" s="94"/>
      <c r="O102" s="94"/>
      <c r="P102" s="94"/>
    </row>
    <row r="103" spans="1:27">
      <c r="A103" s="94"/>
      <c r="B103" s="94">
        <v>1410</v>
      </c>
      <c r="C103" s="94"/>
      <c r="D103" s="94"/>
      <c r="E103" s="94"/>
      <c r="O103" s="94"/>
      <c r="P103" s="94"/>
    </row>
    <row r="104" spans="1:27">
      <c r="A104" s="94"/>
      <c r="B104" s="94"/>
      <c r="C104" s="94"/>
      <c r="D104" s="94"/>
      <c r="E104" s="94"/>
      <c r="O104" s="94"/>
      <c r="P104" s="94"/>
      <c r="Q104" t="s">
        <v>25</v>
      </c>
    </row>
    <row r="105" spans="1:27">
      <c r="A105" s="94">
        <v>900</v>
      </c>
      <c r="B105" s="94">
        <v>610</v>
      </c>
      <c r="C105" s="94">
        <f>$B$103-B105</f>
        <v>800</v>
      </c>
      <c r="D105" s="94">
        <f>(A105-C105)*100/C105</f>
        <v>12.5</v>
      </c>
      <c r="E105" s="94"/>
      <c r="P105" s="94"/>
    </row>
    <row r="106" spans="1:27">
      <c r="A106" s="94">
        <v>1000</v>
      </c>
      <c r="B106" s="94">
        <v>570</v>
      </c>
      <c r="C106" s="464">
        <f>$B$103-B106</f>
        <v>840</v>
      </c>
      <c r="D106" s="464">
        <f>(A106-C106)*100/C106</f>
        <v>19.047619047619047</v>
      </c>
      <c r="E106" s="94"/>
      <c r="O106" s="94"/>
      <c r="P106" s="94"/>
      <c r="R106" t="s">
        <v>25</v>
      </c>
    </row>
    <row r="107" spans="1:27">
      <c r="A107" s="94">
        <v>1200</v>
      </c>
      <c r="B107" s="94">
        <v>400</v>
      </c>
      <c r="C107" s="464">
        <f>$B$103-B107</f>
        <v>1010</v>
      </c>
      <c r="D107" s="464">
        <f>(A107-C107)*100/C107</f>
        <v>18.811881188118811</v>
      </c>
      <c r="E107" s="94"/>
      <c r="K107" t="s">
        <v>25</v>
      </c>
      <c r="O107" s="94"/>
      <c r="P107" s="94"/>
      <c r="Z107" t="s">
        <v>25</v>
      </c>
    </row>
    <row r="108" spans="1:27">
      <c r="A108" s="94">
        <v>1400</v>
      </c>
      <c r="B108">
        <v>170</v>
      </c>
      <c r="C108" s="464">
        <f>$B$103-B108</f>
        <v>1240</v>
      </c>
      <c r="D108" s="464">
        <f>(A108-C108)*100/C108</f>
        <v>12.903225806451612</v>
      </c>
      <c r="H108">
        <v>66597</v>
      </c>
      <c r="J108" t="s">
        <v>25</v>
      </c>
      <c r="O108" s="94"/>
      <c r="P108" s="94"/>
    </row>
    <row r="109" spans="1:27">
      <c r="A109" s="94"/>
      <c r="O109" s="94"/>
      <c r="P109" s="94"/>
    </row>
    <row r="110" spans="1:27">
      <c r="A110" s="94"/>
      <c r="O110" s="94"/>
      <c r="P110" s="94"/>
    </row>
    <row r="111" spans="1:27">
      <c r="A111" s="94"/>
      <c r="H111">
        <v>31500</v>
      </c>
      <c r="O111" s="94"/>
      <c r="P111" s="94"/>
    </row>
    <row r="112" spans="1:27">
      <c r="A112" s="94"/>
      <c r="H112">
        <v>34120</v>
      </c>
      <c r="O112" s="94"/>
      <c r="P112" s="94"/>
    </row>
    <row r="113" spans="1:19">
      <c r="A113" s="94"/>
      <c r="O113" s="94"/>
      <c r="P113" s="94"/>
    </row>
    <row r="114" spans="1:19">
      <c r="A114" s="94"/>
      <c r="O114" s="94"/>
      <c r="P114" s="94"/>
    </row>
    <row r="115" spans="1:19" ht="27" customHeight="1">
      <c r="A115" s="94"/>
      <c r="O115" s="94"/>
      <c r="P115" s="94" t="s">
        <v>25</v>
      </c>
      <c r="Q115" t="s">
        <v>25</v>
      </c>
    </row>
    <row r="116" spans="1:19">
      <c r="A116" s="94"/>
      <c r="O116" s="94" t="s">
        <v>25</v>
      </c>
      <c r="P116" s="94" t="s">
        <v>25</v>
      </c>
      <c r="R116" t="s">
        <v>25</v>
      </c>
    </row>
    <row r="117" spans="1:19">
      <c r="A117" s="94"/>
      <c r="O117" s="94"/>
      <c r="P117" s="94"/>
      <c r="Q117" t="s">
        <v>25</v>
      </c>
      <c r="R117" t="s">
        <v>25</v>
      </c>
    </row>
    <row r="118" spans="1:19">
      <c r="A118" s="94"/>
      <c r="D118">
        <v>28000</v>
      </c>
      <c r="O118" s="94"/>
      <c r="P118" s="94" t="s">
        <v>25</v>
      </c>
      <c r="R118" s="283" t="s">
        <v>5658</v>
      </c>
    </row>
    <row r="119" spans="1:19">
      <c r="A119" s="94"/>
      <c r="O119" s="94" t="s">
        <v>25</v>
      </c>
      <c r="P119" s="94" t="s">
        <v>25</v>
      </c>
      <c r="Q119" t="s">
        <v>25</v>
      </c>
      <c r="R119" t="s">
        <v>25</v>
      </c>
    </row>
    <row r="120" spans="1:19">
      <c r="A120" s="94" t="s">
        <v>7061</v>
      </c>
      <c r="B120">
        <v>10330</v>
      </c>
      <c r="C120">
        <v>11900</v>
      </c>
      <c r="D120" s="112">
        <f t="shared" ref="D120:D142" si="88">B120*$D$118</f>
        <v>289240000</v>
      </c>
      <c r="E120" s="112">
        <f t="shared" ref="E120:E142" si="89">C120*$D$118</f>
        <v>333200000</v>
      </c>
      <c r="F120" s="112">
        <v>440000000</v>
      </c>
      <c r="G120">
        <f>(F120-E120)*100/E120</f>
        <v>32.052821128451377</v>
      </c>
      <c r="O120" s="94" t="s">
        <v>25</v>
      </c>
      <c r="P120" s="94" t="s">
        <v>25</v>
      </c>
      <c r="R120" t="s">
        <v>25</v>
      </c>
    </row>
    <row r="121" spans="1:19">
      <c r="A121" s="94" t="s">
        <v>7062</v>
      </c>
      <c r="C121">
        <v>18000</v>
      </c>
      <c r="D121" s="112">
        <f t="shared" si="88"/>
        <v>0</v>
      </c>
      <c r="E121" s="112">
        <f t="shared" si="89"/>
        <v>504000000</v>
      </c>
      <c r="F121" s="112">
        <v>700000000</v>
      </c>
      <c r="G121" s="463">
        <f t="shared" ref="G121:G138" si="90">(F121-E121)*100/E121</f>
        <v>38.888888888888886</v>
      </c>
      <c r="O121" s="94"/>
      <c r="P121" s="94" t="s">
        <v>25</v>
      </c>
      <c r="R121" t="s">
        <v>25</v>
      </c>
    </row>
    <row r="122" spans="1:19">
      <c r="A122" s="94" t="s">
        <v>7063</v>
      </c>
      <c r="C122">
        <v>19000</v>
      </c>
      <c r="D122" s="112">
        <f t="shared" si="88"/>
        <v>0</v>
      </c>
      <c r="E122" s="112">
        <f t="shared" si="89"/>
        <v>532000000</v>
      </c>
      <c r="F122" s="112">
        <v>650000000</v>
      </c>
      <c r="G122" s="463">
        <f t="shared" si="90"/>
        <v>22.180451127819548</v>
      </c>
      <c r="O122" s="94"/>
      <c r="P122" s="94" t="s">
        <v>25</v>
      </c>
    </row>
    <row r="123" spans="1:19">
      <c r="A123" s="94" t="s">
        <v>7064</v>
      </c>
      <c r="C123">
        <v>23000</v>
      </c>
      <c r="D123" s="112">
        <f t="shared" si="88"/>
        <v>0</v>
      </c>
      <c r="E123" s="112">
        <f t="shared" si="89"/>
        <v>644000000</v>
      </c>
      <c r="F123" s="112">
        <v>930000000</v>
      </c>
      <c r="G123" s="463">
        <f t="shared" si="90"/>
        <v>44.409937888198755</v>
      </c>
      <c r="O123" s="94"/>
      <c r="P123" s="94" t="s">
        <v>25</v>
      </c>
    </row>
    <row r="124" spans="1:19">
      <c r="A124" s="94" t="s">
        <v>7065</v>
      </c>
      <c r="C124">
        <v>13000</v>
      </c>
      <c r="D124" s="112">
        <f t="shared" si="88"/>
        <v>0</v>
      </c>
      <c r="E124" s="112">
        <f t="shared" si="89"/>
        <v>364000000</v>
      </c>
      <c r="F124" s="112">
        <v>600000000</v>
      </c>
      <c r="G124" s="463">
        <f t="shared" si="90"/>
        <v>64.835164835164832</v>
      </c>
      <c r="O124" s="94"/>
      <c r="P124" s="94" t="s">
        <v>25</v>
      </c>
      <c r="R124" t="s">
        <v>25</v>
      </c>
      <c r="S124" t="s">
        <v>25</v>
      </c>
    </row>
    <row r="125" spans="1:19">
      <c r="A125" s="94" t="s">
        <v>7066</v>
      </c>
      <c r="C125">
        <v>13000</v>
      </c>
      <c r="D125" s="112">
        <f t="shared" si="88"/>
        <v>0</v>
      </c>
      <c r="E125" s="112">
        <f t="shared" si="89"/>
        <v>364000000</v>
      </c>
      <c r="F125" s="112">
        <v>400000000</v>
      </c>
      <c r="G125" s="463">
        <f t="shared" si="90"/>
        <v>9.8901098901098905</v>
      </c>
      <c r="O125" s="94"/>
      <c r="R125" t="s">
        <v>25</v>
      </c>
      <c r="S125" t="s">
        <v>25</v>
      </c>
    </row>
    <row r="126" spans="1:19">
      <c r="A126" s="94" t="s">
        <v>7067</v>
      </c>
      <c r="C126">
        <v>13600</v>
      </c>
      <c r="D126" s="112">
        <f t="shared" si="88"/>
        <v>0</v>
      </c>
      <c r="E126" s="112">
        <f t="shared" si="89"/>
        <v>380800000</v>
      </c>
      <c r="F126" s="112">
        <v>520000000</v>
      </c>
      <c r="G126" s="463">
        <f t="shared" si="90"/>
        <v>36.554621848739494</v>
      </c>
      <c r="P126" t="s">
        <v>25</v>
      </c>
      <c r="S126" t="s">
        <v>25</v>
      </c>
    </row>
    <row r="127" spans="1:19">
      <c r="A127" s="94" t="s">
        <v>7068</v>
      </c>
      <c r="C127">
        <v>28000</v>
      </c>
      <c r="D127" s="112">
        <f t="shared" si="88"/>
        <v>0</v>
      </c>
      <c r="E127" s="112">
        <f t="shared" si="89"/>
        <v>784000000</v>
      </c>
      <c r="F127" s="112">
        <v>900000000</v>
      </c>
      <c r="G127" s="463">
        <f t="shared" si="90"/>
        <v>14.795918367346939</v>
      </c>
      <c r="S127" t="s">
        <v>25</v>
      </c>
    </row>
    <row r="128" spans="1:19">
      <c r="A128" s="94" t="s">
        <v>7069</v>
      </c>
      <c r="C128">
        <v>19000</v>
      </c>
      <c r="D128" s="112">
        <f t="shared" si="88"/>
        <v>0</v>
      </c>
      <c r="E128" s="112">
        <f t="shared" si="89"/>
        <v>532000000</v>
      </c>
      <c r="F128" s="112">
        <v>700000000</v>
      </c>
      <c r="G128" s="463">
        <f t="shared" si="90"/>
        <v>31.578947368421051</v>
      </c>
      <c r="O128" t="s">
        <v>25</v>
      </c>
      <c r="Q128" t="s">
        <v>25</v>
      </c>
      <c r="R128" t="s">
        <v>25</v>
      </c>
      <c r="S128" t="s">
        <v>25</v>
      </c>
    </row>
    <row r="129" spans="1:21">
      <c r="A129" s="94" t="s">
        <v>7070</v>
      </c>
      <c r="C129">
        <v>15000</v>
      </c>
      <c r="D129" s="112">
        <f t="shared" si="88"/>
        <v>0</v>
      </c>
      <c r="E129" s="112">
        <f t="shared" si="89"/>
        <v>420000000</v>
      </c>
      <c r="F129" s="112">
        <v>700000000</v>
      </c>
      <c r="G129" s="463">
        <f t="shared" si="90"/>
        <v>66.666666666666671</v>
      </c>
      <c r="Q129" t="s">
        <v>25</v>
      </c>
    </row>
    <row r="130" spans="1:21">
      <c r="A130" s="94" t="s">
        <v>7071</v>
      </c>
      <c r="C130">
        <v>21000</v>
      </c>
      <c r="D130" s="112">
        <f t="shared" si="88"/>
        <v>0</v>
      </c>
      <c r="E130" s="112">
        <f t="shared" si="89"/>
        <v>588000000</v>
      </c>
      <c r="F130" s="112">
        <v>700000000</v>
      </c>
      <c r="G130" s="463">
        <f t="shared" si="90"/>
        <v>19.047619047619047</v>
      </c>
      <c r="P130" t="s">
        <v>25</v>
      </c>
      <c r="R130" t="s">
        <v>25</v>
      </c>
    </row>
    <row r="131" spans="1:21">
      <c r="A131" s="94" t="s">
        <v>7072</v>
      </c>
      <c r="C131">
        <v>17000</v>
      </c>
      <c r="D131" s="112">
        <f t="shared" si="88"/>
        <v>0</v>
      </c>
      <c r="E131" s="112">
        <f t="shared" si="89"/>
        <v>476000000</v>
      </c>
      <c r="F131" s="112">
        <v>700000000</v>
      </c>
      <c r="G131" s="463">
        <f t="shared" si="90"/>
        <v>47.058823529411768</v>
      </c>
      <c r="O131" t="s">
        <v>25</v>
      </c>
      <c r="P131" t="s">
        <v>25</v>
      </c>
      <c r="S131" t="s">
        <v>25</v>
      </c>
      <c r="T131" t="s">
        <v>25</v>
      </c>
    </row>
    <row r="132" spans="1:21">
      <c r="A132" t="s">
        <v>7073</v>
      </c>
      <c r="C132">
        <v>11000</v>
      </c>
      <c r="D132" s="112">
        <f t="shared" si="88"/>
        <v>0</v>
      </c>
      <c r="E132" s="112">
        <f t="shared" si="89"/>
        <v>308000000</v>
      </c>
      <c r="F132" s="112">
        <v>370000000</v>
      </c>
      <c r="G132" s="463">
        <f t="shared" si="90"/>
        <v>20.129870129870131</v>
      </c>
      <c r="P132" t="s">
        <v>25</v>
      </c>
      <c r="Q132" t="s">
        <v>25</v>
      </c>
      <c r="R132" t="s">
        <v>25</v>
      </c>
      <c r="S132" t="s">
        <v>25</v>
      </c>
    </row>
    <row r="133" spans="1:21">
      <c r="D133" s="112">
        <f t="shared" si="88"/>
        <v>0</v>
      </c>
      <c r="E133" s="112">
        <f t="shared" si="89"/>
        <v>0</v>
      </c>
      <c r="F133" s="112"/>
      <c r="G133" s="463" t="e">
        <f t="shared" si="90"/>
        <v>#DIV/0!</v>
      </c>
      <c r="O133" t="s">
        <v>25</v>
      </c>
      <c r="P133" t="s">
        <v>25</v>
      </c>
      <c r="Q133" t="s">
        <v>25</v>
      </c>
      <c r="R133" t="s">
        <v>25</v>
      </c>
    </row>
    <row r="134" spans="1:21">
      <c r="D134" s="112">
        <f t="shared" si="88"/>
        <v>0</v>
      </c>
      <c r="E134" s="112">
        <f t="shared" si="89"/>
        <v>0</v>
      </c>
      <c r="F134" s="112"/>
      <c r="G134" s="463" t="e">
        <f t="shared" si="90"/>
        <v>#DIV/0!</v>
      </c>
      <c r="R134" t="s">
        <v>25</v>
      </c>
      <c r="S134" t="s">
        <v>25</v>
      </c>
    </row>
    <row r="135" spans="1:21">
      <c r="D135" s="112">
        <f t="shared" si="88"/>
        <v>0</v>
      </c>
      <c r="E135" s="112">
        <f t="shared" si="89"/>
        <v>0</v>
      </c>
      <c r="F135" s="112"/>
      <c r="G135" s="463" t="e">
        <f t="shared" si="90"/>
        <v>#DIV/0!</v>
      </c>
      <c r="P135" t="s">
        <v>25</v>
      </c>
      <c r="Q135" t="s">
        <v>25</v>
      </c>
    </row>
    <row r="136" spans="1:21">
      <c r="D136" s="112">
        <f t="shared" si="88"/>
        <v>0</v>
      </c>
      <c r="E136" s="112">
        <f t="shared" si="89"/>
        <v>0</v>
      </c>
      <c r="F136" s="112"/>
      <c r="G136" s="463" t="e">
        <f t="shared" si="90"/>
        <v>#DIV/0!</v>
      </c>
      <c r="P136" t="s">
        <v>25</v>
      </c>
    </row>
    <row r="137" spans="1:21">
      <c r="D137" s="112">
        <f t="shared" si="88"/>
        <v>0</v>
      </c>
      <c r="E137" s="112">
        <f t="shared" si="89"/>
        <v>0</v>
      </c>
      <c r="F137" s="112"/>
      <c r="G137" s="463" t="e">
        <f t="shared" si="90"/>
        <v>#DIV/0!</v>
      </c>
      <c r="P137" t="s">
        <v>25</v>
      </c>
      <c r="R137" t="s">
        <v>25</v>
      </c>
    </row>
    <row r="138" spans="1:21">
      <c r="D138" s="112">
        <f t="shared" si="88"/>
        <v>0</v>
      </c>
      <c r="E138" s="112">
        <f t="shared" si="89"/>
        <v>0</v>
      </c>
      <c r="F138" s="112"/>
      <c r="G138" s="463" t="e">
        <f t="shared" si="90"/>
        <v>#DIV/0!</v>
      </c>
      <c r="O138" t="s">
        <v>25</v>
      </c>
      <c r="P138" t="s">
        <v>25</v>
      </c>
      <c r="S138" t="s">
        <v>25</v>
      </c>
    </row>
    <row r="139" spans="1:21">
      <c r="D139" s="112">
        <f t="shared" si="88"/>
        <v>0</v>
      </c>
      <c r="E139" s="112">
        <f t="shared" si="89"/>
        <v>0</v>
      </c>
      <c r="P139" t="s">
        <v>25</v>
      </c>
      <c r="R139" t="s">
        <v>25</v>
      </c>
    </row>
    <row r="140" spans="1:21">
      <c r="D140" s="112">
        <f t="shared" si="88"/>
        <v>0</v>
      </c>
      <c r="E140" s="112">
        <f t="shared" si="89"/>
        <v>0</v>
      </c>
      <c r="U140" t="s">
        <v>25</v>
      </c>
    </row>
    <row r="141" spans="1:21">
      <c r="D141" s="112">
        <f t="shared" si="88"/>
        <v>0</v>
      </c>
      <c r="E141" s="112">
        <f t="shared" si="89"/>
        <v>0</v>
      </c>
      <c r="R141" t="s">
        <v>25</v>
      </c>
    </row>
    <row r="142" spans="1:21">
      <c r="D142" s="112">
        <f t="shared" si="88"/>
        <v>0</v>
      </c>
      <c r="E142" s="112">
        <f t="shared" si="89"/>
        <v>0</v>
      </c>
      <c r="R142" t="s">
        <v>25</v>
      </c>
      <c r="S142" t="s">
        <v>25</v>
      </c>
    </row>
    <row r="143" spans="1:21">
      <c r="P143" t="s">
        <v>25</v>
      </c>
      <c r="Q143" t="s">
        <v>25</v>
      </c>
      <c r="R143" t="s">
        <v>25</v>
      </c>
    </row>
    <row r="144" spans="1:21">
      <c r="P144" t="s">
        <v>25</v>
      </c>
      <c r="R144" t="s">
        <v>25</v>
      </c>
    </row>
    <row r="147" spans="15:18">
      <c r="P147" t="s">
        <v>25</v>
      </c>
    </row>
    <row r="149" spans="15:18">
      <c r="P149" t="s">
        <v>25</v>
      </c>
    </row>
    <row r="150" spans="15:18">
      <c r="P150" t="s">
        <v>25</v>
      </c>
    </row>
    <row r="151" spans="15:18">
      <c r="O151" t="s">
        <v>25</v>
      </c>
      <c r="P151" s="94" t="s">
        <v>25</v>
      </c>
    </row>
    <row r="152" spans="15:18">
      <c r="Q152" t="s">
        <v>25</v>
      </c>
    </row>
    <row r="153" spans="15:18">
      <c r="O153" s="94"/>
      <c r="P153" t="s">
        <v>25</v>
      </c>
      <c r="Q153" t="s">
        <v>25</v>
      </c>
    </row>
    <row r="154" spans="15:18">
      <c r="O154" s="94"/>
      <c r="P154" t="s">
        <v>25</v>
      </c>
    </row>
    <row r="155" spans="15:18">
      <c r="O155" s="94" t="s">
        <v>25</v>
      </c>
    </row>
    <row r="156" spans="15:18">
      <c r="O156" t="s">
        <v>25</v>
      </c>
    </row>
    <row r="157" spans="15:18">
      <c r="R157" t="s">
        <v>25</v>
      </c>
    </row>
    <row r="159" spans="15:18">
      <c r="P159" s="94" t="s">
        <v>5507</v>
      </c>
    </row>
    <row r="160" spans="15:18">
      <c r="P160" s="94" t="s">
        <v>5508</v>
      </c>
    </row>
    <row r="161" spans="15:16">
      <c r="P161" s="94" t="s">
        <v>5509</v>
      </c>
    </row>
    <row r="162" spans="15:16">
      <c r="O162" t="s">
        <v>25</v>
      </c>
      <c r="P162" s="94" t="s">
        <v>5510</v>
      </c>
    </row>
    <row r="163" spans="15:16">
      <c r="P163" s="94" t="s">
        <v>5511</v>
      </c>
    </row>
    <row r="164" spans="15:16">
      <c r="P164" s="94" t="s">
        <v>5512</v>
      </c>
    </row>
    <row r="165" spans="15:16">
      <c r="O165" s="94"/>
    </row>
    <row r="166" spans="15:16">
      <c r="O166" s="94"/>
      <c r="P166" t="s">
        <v>25</v>
      </c>
    </row>
    <row r="167" spans="15:16">
      <c r="O167" s="94"/>
    </row>
    <row r="168" spans="15:16">
      <c r="O168" s="94"/>
      <c r="P168" t="s">
        <v>25</v>
      </c>
    </row>
    <row r="169" spans="15:16">
      <c r="O169" t="s">
        <v>25</v>
      </c>
    </row>
    <row r="170" spans="15:16">
      <c r="P170" t="s">
        <v>25</v>
      </c>
    </row>
    <row r="171" spans="15:16">
      <c r="P171" t="s">
        <v>25</v>
      </c>
    </row>
    <row r="172" spans="15:16">
      <c r="O172" t="s">
        <v>25</v>
      </c>
    </row>
    <row r="173" spans="15:16">
      <c r="O173" s="94"/>
    </row>
    <row r="174" spans="15:16">
      <c r="O174" s="94" t="s">
        <v>25</v>
      </c>
    </row>
    <row r="176" spans="15:16">
      <c r="O176" t="s">
        <v>25</v>
      </c>
      <c r="P176" t="s">
        <v>25</v>
      </c>
    </row>
    <row r="177" spans="15:19">
      <c r="O177" t="s">
        <v>25</v>
      </c>
    </row>
    <row r="178" spans="15:19">
      <c r="O178" t="s">
        <v>25</v>
      </c>
    </row>
    <row r="180" spans="15:19">
      <c r="S180" t="s">
        <v>25</v>
      </c>
    </row>
    <row r="182" spans="15:19">
      <c r="P182" t="s">
        <v>25</v>
      </c>
    </row>
    <row r="190" spans="15:19">
      <c r="P190" t="s">
        <v>25</v>
      </c>
    </row>
    <row r="191" spans="15:19">
      <c r="P191" t="s">
        <v>25</v>
      </c>
    </row>
    <row r="193" spans="15:21">
      <c r="P193" t="s">
        <v>25</v>
      </c>
      <c r="U193" t="s">
        <v>25</v>
      </c>
    </row>
    <row r="194" spans="15:21">
      <c r="O194" t="s">
        <v>25</v>
      </c>
    </row>
    <row r="196" spans="15:21">
      <c r="Q196" t="s">
        <v>25</v>
      </c>
    </row>
    <row r="209" spans="16:16">
      <c r="P209" t="s">
        <v>25</v>
      </c>
    </row>
    <row r="220" spans="16:16">
      <c r="P220" t="s">
        <v>25</v>
      </c>
    </row>
    <row r="229" spans="15:16">
      <c r="P229" t="s">
        <v>25</v>
      </c>
    </row>
    <row r="234" spans="15:16">
      <c r="O234" s="94"/>
    </row>
    <row r="235" spans="15:16">
      <c r="O235" s="94" t="s">
        <v>25</v>
      </c>
    </row>
    <row r="236" spans="15:16">
      <c r="O236" s="94"/>
      <c r="P236" t="s">
        <v>25</v>
      </c>
    </row>
    <row r="237" spans="15:16">
      <c r="O237" s="94" t="s">
        <v>25</v>
      </c>
    </row>
    <row r="238" spans="15:16">
      <c r="O238" s="94"/>
    </row>
    <row r="239" spans="15:16">
      <c r="O239" s="94"/>
    </row>
  </sheetData>
  <conditionalFormatting sqref="K82 K1:K6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5:K8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4" t="s">
        <v>6504</v>
      </c>
      <c r="C1" s="474"/>
      <c r="D1" s="474" t="s">
        <v>6505</v>
      </c>
      <c r="E1" s="474"/>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5" t="s">
        <v>1071</v>
      </c>
      <c r="R21" s="475"/>
      <c r="S21" s="475"/>
      <c r="T21" s="475"/>
      <c r="U21" s="94"/>
      <c r="V21" s="94"/>
      <c r="W21" s="41" t="s">
        <v>4948</v>
      </c>
      <c r="X21" s="41">
        <v>9035210431</v>
      </c>
      <c r="Y21" s="41">
        <v>50</v>
      </c>
      <c r="Z21" s="41" t="s">
        <v>5210</v>
      </c>
      <c r="AA21" t="s">
        <v>4966</v>
      </c>
    </row>
    <row r="22" spans="5:35">
      <c r="O22" s="97"/>
      <c r="P22" s="97"/>
      <c r="Q22" s="475"/>
      <c r="R22" s="475"/>
      <c r="S22" s="475"/>
      <c r="T22" s="475"/>
      <c r="U22" s="94"/>
      <c r="V22" s="94"/>
      <c r="W22" s="41" t="s">
        <v>5035</v>
      </c>
      <c r="X22" s="41">
        <v>9909620343</v>
      </c>
      <c r="Y22" s="41">
        <v>200</v>
      </c>
      <c r="Z22" s="41" t="s">
        <v>5211</v>
      </c>
      <c r="AA22" t="s">
        <v>5214</v>
      </c>
      <c r="AB22" s="41" t="s">
        <v>5222</v>
      </c>
    </row>
    <row r="23" spans="5:35" ht="15.75">
      <c r="O23" s="176"/>
      <c r="P23" s="97" t="s">
        <v>4067</v>
      </c>
      <c r="Q23" s="476" t="s">
        <v>1072</v>
      </c>
      <c r="R23" s="477" t="s">
        <v>1073</v>
      </c>
      <c r="S23" s="476" t="s">
        <v>1074</v>
      </c>
      <c r="T23" s="478" t="s">
        <v>1075</v>
      </c>
      <c r="W23" s="41" t="s">
        <v>5036</v>
      </c>
      <c r="X23" s="41">
        <v>9378807702</v>
      </c>
      <c r="Y23" s="41">
        <v>0</v>
      </c>
      <c r="Z23" s="41">
        <v>0</v>
      </c>
      <c r="AD23" t="s">
        <v>25</v>
      </c>
    </row>
    <row r="24" spans="5:35">
      <c r="O24" s="97"/>
      <c r="P24" s="97"/>
      <c r="Q24" s="476"/>
      <c r="R24" s="477"/>
      <c r="S24" s="476"/>
      <c r="T24" s="47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2021-12-08T13:24:56Z</dcterms:modified>
</cp:coreProperties>
</file>