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2CCEBF08-7822-4AD2-8DDF-1AEE9876E65E}"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9" i="63" l="1"/>
  <c r="H29" i="63" s="1"/>
  <c r="M29" i="63" s="1"/>
  <c r="D63" i="63"/>
  <c r="H63" i="63"/>
  <c r="M63" i="63" s="1"/>
  <c r="I29" i="63" l="1"/>
  <c r="J29" i="63" s="1"/>
  <c r="K29" i="63" s="1"/>
  <c r="L29" i="63" s="1"/>
  <c r="I63" i="63"/>
  <c r="J63" i="63" s="1"/>
  <c r="K63" i="63" s="1"/>
  <c r="L63" i="63" s="1"/>
  <c r="P46" i="63"/>
  <c r="D28" i="63"/>
  <c r="H28" i="63" s="1"/>
  <c r="M28" i="63" s="1"/>
  <c r="D32" i="63"/>
  <c r="D33" i="63"/>
  <c r="I28" i="63" l="1"/>
  <c r="J28" i="63" s="1"/>
  <c r="K28" i="63" s="1"/>
  <c r="L28" i="63" s="1"/>
  <c r="D22" i="63"/>
  <c r="D27" i="63"/>
  <c r="D34" i="63" l="1"/>
  <c r="H27" i="63"/>
  <c r="M27" i="63" s="1"/>
  <c r="I27" i="63" l="1"/>
  <c r="J27" i="63" s="1"/>
  <c r="K27" i="63" s="1"/>
  <c r="L27" i="63" s="1"/>
  <c r="D26" i="63"/>
  <c r="H26" i="63" s="1"/>
  <c r="M26" i="63" l="1"/>
  <c r="I26" i="63"/>
  <c r="J26" i="63" s="1"/>
  <c r="K26" i="63" s="1"/>
  <c r="L26" i="63" s="1"/>
  <c r="D62" i="63"/>
  <c r="H62" i="63" s="1"/>
  <c r="M62" i="63" s="1"/>
  <c r="D40" i="63"/>
  <c r="H40" i="63" s="1"/>
  <c r="M40" i="63" s="1"/>
  <c r="D25" i="63"/>
  <c r="H25" i="63" s="1"/>
  <c r="M25" i="63" s="1"/>
  <c r="I62" i="63" l="1"/>
  <c r="J62" i="63" s="1"/>
  <c r="K62" i="63" s="1"/>
  <c r="L62" i="63" s="1"/>
  <c r="I40" i="63"/>
  <c r="J40" i="63" s="1"/>
  <c r="K40" i="63" s="1"/>
  <c r="L40" i="63" s="1"/>
  <c r="I25" i="63"/>
  <c r="J25" i="63" s="1"/>
  <c r="K25" i="63" s="1"/>
  <c r="L25" i="63" s="1"/>
  <c r="R506" i="18"/>
  <c r="R505" i="18"/>
  <c r="H8" i="18"/>
  <c r="H7" i="18"/>
  <c r="H6" i="18"/>
  <c r="H38" i="18"/>
  <c r="D24" i="63" l="1"/>
  <c r="H24" i="63" s="1"/>
  <c r="D48" i="63"/>
  <c r="H48" i="63" s="1"/>
  <c r="D39" i="63"/>
  <c r="H39" i="63" s="1"/>
  <c r="I24" i="63" l="1"/>
  <c r="J24" i="63" s="1"/>
  <c r="K24" i="63" s="1"/>
  <c r="L24" i="63" s="1"/>
  <c r="M24" i="63"/>
  <c r="I39" i="63"/>
  <c r="J39" i="63" s="1"/>
  <c r="K39" i="63" s="1"/>
  <c r="L39" i="63" s="1"/>
  <c r="M39" i="63"/>
  <c r="I48" i="63"/>
  <c r="J48" i="63" s="1"/>
  <c r="K48" i="63" s="1"/>
  <c r="L48" i="63" s="1"/>
  <c r="M48" i="63"/>
  <c r="D23" i="63"/>
  <c r="H23" i="63" s="1"/>
  <c r="D38" i="63"/>
  <c r="H38" i="63" s="1"/>
  <c r="I19" i="63"/>
  <c r="G19" i="63"/>
  <c r="H19" i="63"/>
  <c r="I38" i="63" l="1"/>
  <c r="J38" i="63" s="1"/>
  <c r="K38" i="63" s="1"/>
  <c r="L38" i="63" s="1"/>
  <c r="M38"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41" i="63" l="1"/>
  <c r="H41" i="63" s="1"/>
  <c r="M41" i="63" s="1"/>
  <c r="D37" i="63"/>
  <c r="H37" i="63" s="1"/>
  <c r="M37" i="63" s="1"/>
  <c r="I41" i="63" l="1"/>
  <c r="J41" i="63" s="1"/>
  <c r="K41" i="63" s="1"/>
  <c r="L41" i="63" s="1"/>
  <c r="I37" i="63"/>
  <c r="J37" i="63" s="1"/>
  <c r="K37" i="63" s="1"/>
  <c r="L37" i="63" s="1"/>
  <c r="D61" i="63"/>
  <c r="H61" i="63" s="1"/>
  <c r="M61" i="63" s="1"/>
  <c r="D55" i="63"/>
  <c r="H55" i="63" s="1"/>
  <c r="M55" i="63" s="1"/>
  <c r="D60" i="63"/>
  <c r="H60" i="63" s="1"/>
  <c r="M60" i="63" s="1"/>
  <c r="D54" i="63"/>
  <c r="H54" i="63" s="1"/>
  <c r="M54" i="63" s="1"/>
  <c r="D47" i="63"/>
  <c r="H47" i="63" s="1"/>
  <c r="M47" i="63" s="1"/>
  <c r="D36" i="63"/>
  <c r="H36" i="63" s="1"/>
  <c r="M36" i="63" s="1"/>
  <c r="I61" i="63" l="1"/>
  <c r="J61" i="63" s="1"/>
  <c r="K61" i="63" s="1"/>
  <c r="L61" i="63" s="1"/>
  <c r="I55" i="63"/>
  <c r="J55" i="63" s="1"/>
  <c r="K55" i="63" s="1"/>
  <c r="L55" i="63" s="1"/>
  <c r="I60" i="63"/>
  <c r="J60" i="63" s="1"/>
  <c r="K60" i="63" s="1"/>
  <c r="L60" i="63" s="1"/>
  <c r="I54" i="63"/>
  <c r="J54" i="63" s="1"/>
  <c r="K54" i="63" s="1"/>
  <c r="L54" i="63" s="1"/>
  <c r="I47" i="63"/>
  <c r="J47" i="63" s="1"/>
  <c r="K47" i="63" s="1"/>
  <c r="L47" i="63" s="1"/>
  <c r="I36" i="63"/>
  <c r="J36" i="63" s="1"/>
  <c r="K36" i="63" s="1"/>
  <c r="L36" i="63" s="1"/>
  <c r="H33" i="63"/>
  <c r="M33" i="63" s="1"/>
  <c r="D35" i="63"/>
  <c r="H35" i="63" s="1"/>
  <c r="M35" i="63" s="1"/>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6" i="63"/>
  <c r="H46" i="63" s="1"/>
  <c r="M46" i="63" s="1"/>
  <c r="D53" i="63"/>
  <c r="H53" i="63" s="1"/>
  <c r="M53" i="63" s="1"/>
  <c r="D59" i="63"/>
  <c r="H59" i="63" s="1"/>
  <c r="M59" i="63" s="1"/>
  <c r="D67" i="63"/>
  <c r="D66" i="63"/>
  <c r="H66" i="63" s="1"/>
  <c r="D65" i="63"/>
  <c r="H65" i="63" s="1"/>
  <c r="D64" i="63"/>
  <c r="H64" i="63" s="1"/>
  <c r="D58" i="63"/>
  <c r="D57" i="63"/>
  <c r="D56" i="63"/>
  <c r="D52" i="63"/>
  <c r="D51" i="63"/>
  <c r="D50" i="63"/>
  <c r="D49" i="63"/>
  <c r="D45" i="63"/>
  <c r="H45" i="63" s="1"/>
  <c r="M45" i="63" s="1"/>
  <c r="D44" i="63"/>
  <c r="H44" i="63" s="1"/>
  <c r="M44" i="63" s="1"/>
  <c r="D43" i="63"/>
  <c r="H43" i="63" s="1"/>
  <c r="M43" i="63" s="1"/>
  <c r="D42" i="63"/>
  <c r="H42" i="63" s="1"/>
  <c r="M42" i="63" s="1"/>
  <c r="D31" i="63"/>
  <c r="H34" i="63"/>
  <c r="M34" i="63" s="1"/>
  <c r="H67" i="63" l="1"/>
  <c r="M67" i="63" s="1"/>
  <c r="I33" i="63"/>
  <c r="J33" i="63" s="1"/>
  <c r="K33" i="63" s="1"/>
  <c r="P22" i="63"/>
  <c r="Q22" i="63"/>
  <c r="J18" i="63"/>
  <c r="K18" i="63" s="1"/>
  <c r="E7" i="80"/>
  <c r="E8" i="80" s="1"/>
  <c r="I67" i="63"/>
  <c r="J67" i="63" s="1"/>
  <c r="K67" i="63" s="1"/>
  <c r="L67" i="63" s="1"/>
  <c r="I59" i="63"/>
  <c r="J59" i="63" s="1"/>
  <c r="K59" i="63" s="1"/>
  <c r="L59" i="63" s="1"/>
  <c r="I53" i="63"/>
  <c r="J53" i="63" s="1"/>
  <c r="K53" i="63" s="1"/>
  <c r="L53" i="63" s="1"/>
  <c r="I46" i="63"/>
  <c r="J46" i="63" s="1"/>
  <c r="K46" i="63" s="1"/>
  <c r="L46" i="63" s="1"/>
  <c r="I34" i="63"/>
  <c r="J34" i="63" s="1"/>
  <c r="K34" i="63" s="1"/>
  <c r="L34" i="63" s="1"/>
  <c r="P23" i="63" l="1"/>
  <c r="P26" i="63" s="1"/>
  <c r="L33" i="63"/>
  <c r="H58" i="63"/>
  <c r="M58" i="63" s="1"/>
  <c r="H52" i="63"/>
  <c r="P34" i="63"/>
  <c r="I1" i="63" s="1"/>
  <c r="I66" i="63" l="1"/>
  <c r="M66" i="63"/>
  <c r="I52" i="63"/>
  <c r="J52" i="63" s="1"/>
  <c r="K52" i="63" s="1"/>
  <c r="L52" i="63" s="1"/>
  <c r="M52" i="63"/>
  <c r="J66" i="63"/>
  <c r="K66" i="63" s="1"/>
  <c r="L66" i="63" s="1"/>
  <c r="I45" i="63"/>
  <c r="J45" i="63" s="1"/>
  <c r="K45" i="63" s="1"/>
  <c r="L45" i="63" s="1"/>
  <c r="I58" i="63"/>
  <c r="J58" i="63" l="1"/>
  <c r="K58" i="63" s="1"/>
  <c r="L58" i="63" s="1"/>
  <c r="H32" i="63"/>
  <c r="M32" i="63" s="1"/>
  <c r="H49" i="63"/>
  <c r="M49" i="63" s="1"/>
  <c r="H50" i="63"/>
  <c r="M50" i="63" s="1"/>
  <c r="H51" i="63"/>
  <c r="H56" i="63"/>
  <c r="M56" i="63" s="1"/>
  <c r="H57" i="63"/>
  <c r="M57" i="63" s="1"/>
  <c r="M65" i="63"/>
  <c r="I2" i="63"/>
  <c r="I51" i="63" l="1"/>
  <c r="J51" i="63" s="1"/>
  <c r="K51" i="63" s="1"/>
  <c r="L51" i="63" s="1"/>
  <c r="M51" i="63"/>
  <c r="I32" i="63"/>
  <c r="J32" i="63" s="1"/>
  <c r="I44" i="63"/>
  <c r="J44" i="63" s="1"/>
  <c r="K44" i="63" s="1"/>
  <c r="L44" i="63" s="1"/>
  <c r="I65" i="63"/>
  <c r="J65" i="63" s="1"/>
  <c r="K65" i="63" s="1"/>
  <c r="L65" i="63" s="1"/>
  <c r="F34" i="18"/>
  <c r="K32" i="63" l="1"/>
  <c r="L32" i="63" s="1"/>
  <c r="H31" i="63"/>
  <c r="M31" i="63" s="1"/>
  <c r="I31" i="63" l="1"/>
  <c r="M64" i="63"/>
  <c r="H17" i="63"/>
  <c r="I17" i="63"/>
  <c r="G17" i="63"/>
  <c r="J31" i="63" l="1"/>
  <c r="K31" i="63" s="1"/>
  <c r="L31" i="63" s="1"/>
  <c r="I64" i="63"/>
  <c r="J64" i="63" s="1"/>
  <c r="K64" i="63" s="1"/>
  <c r="L64" i="63" s="1"/>
  <c r="I43" i="63"/>
  <c r="J43" i="63" s="1"/>
  <c r="K43" i="63" s="1"/>
  <c r="L43" i="63" s="1"/>
  <c r="I57" i="63"/>
  <c r="J57" i="63" s="1"/>
  <c r="K57" i="63" s="1"/>
  <c r="L57" i="63" s="1"/>
  <c r="I50" i="63"/>
  <c r="J50" i="63" s="1"/>
  <c r="K50" i="63" s="1"/>
  <c r="L50" i="63" s="1"/>
  <c r="J17" i="63"/>
  <c r="K17" i="63" s="1"/>
  <c r="I49" i="63" l="1"/>
  <c r="J49" i="63" s="1"/>
  <c r="K49" i="63" s="1"/>
  <c r="L49" i="63" s="1"/>
  <c r="I42" i="63"/>
  <c r="J42" i="63" s="1"/>
  <c r="K42" i="63" s="1"/>
  <c r="L42" i="63" s="1"/>
  <c r="I56" i="63"/>
  <c r="J56" i="63" s="1"/>
  <c r="K56" i="63" s="1"/>
  <c r="L56" i="63" s="1"/>
  <c r="H22" i="63"/>
  <c r="M22" i="63" s="1"/>
  <c r="H30" i="63"/>
  <c r="M30" i="63" s="1"/>
  <c r="P45" i="63" l="1"/>
  <c r="P48" i="63" s="1"/>
  <c r="P49" i="63" s="1"/>
  <c r="P50" i="63" s="1"/>
  <c r="I22" i="63"/>
  <c r="J22" i="63" s="1"/>
  <c r="I30" i="63"/>
  <c r="H14" i="18" l="1"/>
  <c r="K22" i="63"/>
  <c r="L22" i="63" s="1"/>
  <c r="J30" i="63"/>
  <c r="Q42" i="63" s="1"/>
  <c r="E34" i="18"/>
  <c r="K30" i="63" l="1"/>
  <c r="L30" i="63" s="1"/>
  <c r="Q43" i="63"/>
  <c r="H13" i="18"/>
  <c r="G15" i="63"/>
  <c r="H15" i="63"/>
  <c r="G14" i="63" l="1"/>
  <c r="H14" i="63"/>
  <c r="B124" i="18"/>
  <c r="G13" i="63"/>
  <c r="H13" i="63"/>
  <c r="G12" i="63"/>
  <c r="H12" i="63"/>
  <c r="G11" i="63"/>
  <c r="H11" i="63"/>
  <c r="B122" i="18"/>
  <c r="H10" i="63" l="1"/>
  <c r="G10" i="63"/>
  <c r="D6" i="18"/>
  <c r="J79" i="63"/>
  <c r="K79" i="63" s="1"/>
  <c r="L79" i="63" s="1"/>
  <c r="H2" i="63"/>
  <c r="G2" i="63"/>
  <c r="H9" i="63"/>
  <c r="G9" i="63"/>
  <c r="M79" i="63" l="1"/>
  <c r="N78" i="63" s="1"/>
  <c r="O78" i="63" s="1"/>
  <c r="J2" i="63"/>
  <c r="K2" i="63" s="1"/>
  <c r="H8" i="63"/>
  <c r="G8" i="63"/>
  <c r="H7" i="63"/>
  <c r="G7" i="63"/>
  <c r="H1" i="63"/>
  <c r="Q78" i="63" l="1"/>
  <c r="S78" i="63" s="1"/>
  <c r="P78" i="63"/>
  <c r="J1" i="63"/>
  <c r="K1" i="63" s="1"/>
  <c r="J78" i="63"/>
  <c r="K78" i="63" s="1"/>
  <c r="L78" i="63" s="1"/>
  <c r="M78" i="63" l="1"/>
  <c r="N77" i="63" s="1"/>
  <c r="O77" i="63" s="1"/>
  <c r="R504" i="18"/>
  <c r="Q77" i="63" l="1"/>
  <c r="S77" i="63" s="1"/>
  <c r="P77" i="63"/>
  <c r="R503" i="18"/>
  <c r="P3" i="63" l="1"/>
  <c r="O33" i="63" l="1"/>
  <c r="F29" i="18"/>
  <c r="I70" i="63"/>
  <c r="H70" i="63"/>
  <c r="G70"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70" i="63"/>
  <c r="L70" i="63" s="1"/>
  <c r="C125" i="18"/>
  <c r="B23" i="18"/>
  <c r="J80" i="63" l="1"/>
  <c r="K80" i="63" s="1"/>
  <c r="L80" i="63" s="1"/>
  <c r="M80" i="63" s="1"/>
  <c r="T23" i="63"/>
  <c r="N79" i="63" l="1"/>
  <c r="O79" i="63" s="1"/>
  <c r="Q79" i="63" l="1"/>
  <c r="S79" i="63" s="1"/>
  <c r="P79"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82"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1" i="63" l="1"/>
  <c r="H111" i="63"/>
  <c r="I111" i="63"/>
  <c r="G112" i="63"/>
  <c r="H112" i="63"/>
  <c r="I112" i="63"/>
  <c r="H110" i="63"/>
  <c r="I110" i="63"/>
  <c r="G110" i="63"/>
  <c r="I109" i="63"/>
  <c r="G109" i="63"/>
  <c r="H109" i="63"/>
  <c r="J110" i="63" l="1"/>
  <c r="K110" i="63" s="1"/>
  <c r="J109" i="63"/>
  <c r="K109" i="63" s="1"/>
  <c r="J112" i="63"/>
  <c r="K112" i="63" s="1"/>
  <c r="J111" i="63"/>
  <c r="K111" i="63" s="1"/>
  <c r="R467" i="18"/>
  <c r="R461" i="18"/>
  <c r="K9" i="18"/>
  <c r="K10" i="18" s="1"/>
  <c r="H10" i="18"/>
  <c r="H9" i="18"/>
  <c r="R455" i="18"/>
  <c r="R454" i="18"/>
  <c r="R469" i="18" l="1"/>
  <c r="R468" i="18" l="1"/>
  <c r="I106" i="63"/>
  <c r="G106" i="63"/>
  <c r="H106" i="63"/>
  <c r="J106" i="63" l="1"/>
  <c r="K106" i="63" s="1"/>
  <c r="I108" i="63"/>
  <c r="G108" i="63" l="1"/>
  <c r="H108" i="63"/>
  <c r="J108" i="63" s="1"/>
  <c r="K108" i="63" s="1"/>
  <c r="I107" i="63"/>
  <c r="G107" i="63"/>
  <c r="H107" i="63"/>
  <c r="G103" i="63"/>
  <c r="H103" i="63"/>
  <c r="I103" i="63"/>
  <c r="I105" i="63"/>
  <c r="H105" i="63"/>
  <c r="G105" i="63"/>
  <c r="I102" i="63"/>
  <c r="J103" i="63" l="1"/>
  <c r="K103" i="63" s="1"/>
  <c r="J107" i="63"/>
  <c r="K107" i="63" s="1"/>
  <c r="J105" i="63"/>
  <c r="K105" i="63" s="1"/>
  <c r="G102" i="63" l="1"/>
  <c r="H102" i="63"/>
  <c r="J102" i="63" s="1"/>
  <c r="K102" i="63" s="1"/>
  <c r="I100" i="63"/>
  <c r="H100" i="63"/>
  <c r="G100" i="63"/>
  <c r="I97" i="63"/>
  <c r="H97" i="63"/>
  <c r="G97" i="63"/>
  <c r="I98" i="63"/>
  <c r="I101" i="63"/>
  <c r="I104" i="63"/>
  <c r="H98" i="63"/>
  <c r="H101" i="63"/>
  <c r="G98" i="63"/>
  <c r="G101" i="63"/>
  <c r="G104" i="63"/>
  <c r="H104" i="63"/>
  <c r="I99" i="63"/>
  <c r="I92" i="63"/>
  <c r="I113" i="63"/>
  <c r="G113" i="63"/>
  <c r="I96" i="63"/>
  <c r="G96" i="63"/>
  <c r="H96" i="63"/>
  <c r="J97" i="63" l="1"/>
  <c r="K97" i="63" s="1"/>
  <c r="J98" i="63"/>
  <c r="K98" i="63" s="1"/>
  <c r="J100" i="63"/>
  <c r="K100" i="63" s="1"/>
  <c r="J104" i="63"/>
  <c r="K104" i="63" s="1"/>
  <c r="J101" i="63"/>
  <c r="K101" i="63" s="1"/>
  <c r="J96" i="63"/>
  <c r="K96" i="63" s="1"/>
  <c r="I95" i="63"/>
  <c r="R466" i="18"/>
  <c r="G94" i="63" l="1"/>
  <c r="H94" i="63"/>
  <c r="I94" i="63"/>
  <c r="G95" i="63"/>
  <c r="H95" i="63"/>
  <c r="G99" i="63"/>
  <c r="H99" i="63"/>
  <c r="H113" i="63"/>
  <c r="I93" i="63"/>
  <c r="H93" i="63"/>
  <c r="G93" i="63"/>
  <c r="H92" i="63"/>
  <c r="G92" i="63"/>
  <c r="J113" i="63" l="1"/>
  <c r="K113" i="63" s="1"/>
  <c r="J94" i="63"/>
  <c r="K94" i="63" s="1"/>
  <c r="J92" i="63"/>
  <c r="K92" i="63" s="1"/>
  <c r="J99" i="63"/>
  <c r="K99" i="63" s="1"/>
  <c r="J93" i="63"/>
  <c r="K93" i="63" s="1"/>
  <c r="J95" i="63"/>
  <c r="K9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6" i="63" l="1"/>
  <c r="H116" i="63"/>
  <c r="I116" i="63"/>
  <c r="G119" i="63"/>
  <c r="H119" i="63"/>
  <c r="I119" i="63"/>
  <c r="J119" i="63" l="1"/>
  <c r="K119" i="63" s="1"/>
  <c r="J116" i="63"/>
  <c r="K116" i="63" s="1"/>
  <c r="R458" i="18"/>
  <c r="R457" i="18" l="1"/>
  <c r="I4" i="60" l="1"/>
  <c r="I3" i="60"/>
  <c r="B6" i="18" l="1"/>
  <c r="I18" i="60"/>
  <c r="G89" i="63" l="1"/>
  <c r="I89" i="63"/>
  <c r="H89" i="63"/>
  <c r="J89" i="63" l="1"/>
  <c r="K8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4" i="63"/>
  <c r="I145" i="63"/>
  <c r="G145" i="63"/>
  <c r="H145" i="63"/>
  <c r="G144" i="63"/>
  <c r="H144" i="63"/>
  <c r="J145" i="63" l="1"/>
  <c r="K145" i="63" s="1"/>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3" i="63"/>
  <c r="H143" i="63"/>
  <c r="I141" i="63"/>
  <c r="I142" i="63"/>
  <c r="I143" i="63"/>
  <c r="I147" i="63"/>
  <c r="J147" i="63" s="1"/>
  <c r="K147" i="63" s="1"/>
  <c r="G142" i="63"/>
  <c r="H142" i="63"/>
  <c r="D5" i="18"/>
  <c r="J143" i="63" l="1"/>
  <c r="K143" i="63" s="1"/>
  <c r="J142" i="63"/>
  <c r="K142" i="63" s="1"/>
  <c r="I140" i="63"/>
  <c r="G141" i="63"/>
  <c r="H141" i="63"/>
  <c r="I138" i="63"/>
  <c r="I139" i="63"/>
  <c r="G140" i="63"/>
  <c r="H140" i="63"/>
  <c r="J141" i="63" l="1"/>
  <c r="K141" i="63" s="1"/>
  <c r="J140" i="63"/>
  <c r="K140" i="63" s="1"/>
  <c r="R435" i="18" l="1"/>
  <c r="H138" i="63"/>
  <c r="H139" i="63"/>
  <c r="G139" i="63"/>
  <c r="J139" i="63" l="1"/>
  <c r="K139" i="63" s="1"/>
  <c r="J138" i="63"/>
  <c r="K13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J131" i="63" l="1"/>
  <c r="K131" i="63" s="1"/>
  <c r="J130" i="63"/>
  <c r="K130" i="63" s="1"/>
  <c r="J125" i="63"/>
  <c r="K125" i="63" s="1"/>
  <c r="J124" i="63"/>
  <c r="K124" i="63" s="1"/>
  <c r="J121" i="63"/>
  <c r="K121" i="63" s="1"/>
  <c r="J133" i="63"/>
  <c r="K133" i="63" s="1"/>
  <c r="J132" i="63"/>
  <c r="K132" i="63" s="1"/>
  <c r="J127" i="63"/>
  <c r="K127" i="63" s="1"/>
  <c r="J126" i="63"/>
  <c r="K126" i="63" s="1"/>
  <c r="J134" i="63"/>
  <c r="K134" i="63" s="1"/>
  <c r="J129" i="63"/>
  <c r="K129" i="63" s="1"/>
  <c r="J128" i="63"/>
  <c r="K128" i="63" s="1"/>
  <c r="J123" i="63"/>
  <c r="K123" i="63" s="1"/>
  <c r="J135" i="63"/>
  <c r="K135" i="63" s="1"/>
  <c r="J137" i="63"/>
  <c r="K137" i="63" s="1"/>
  <c r="J136" i="63"/>
  <c r="K136" i="63" s="1"/>
  <c r="J122" i="63"/>
  <c r="K122" i="63" s="1"/>
  <c r="G120" i="63"/>
  <c r="H120" i="63"/>
  <c r="I120" i="63"/>
  <c r="J120" i="63" l="1"/>
  <c r="K12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0" i="63"/>
  <c r="R373" i="18"/>
  <c r="D101" i="72" l="1"/>
  <c r="E102" i="72"/>
  <c r="R372" i="18"/>
  <c r="D100" i="72" l="1"/>
  <c r="E101" i="72"/>
  <c r="E100" i="72" l="1"/>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<sst xmlns="http://schemas.openxmlformats.org/spreadsheetml/2006/main" count="17177" uniqueCount="7076">
  <si>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</si>
  <si>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</si>
  <si>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</si>
  <si>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</si>
  <si>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</si>
  <si>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</si>
  <si>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</si>
  <si>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</si>
  <si>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</si>
  <si>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</si>
  <si>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</si>
  <si>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</si>
  <si>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</si>
  <si>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</si>
  <si>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</si>
  <si>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</si>
  <si>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</si>
  <si>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</si>
  <si>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</si>
  <si>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</si>
  <si>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</si>
  <si>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</si>
  <si>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</si>
  <si>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</si>
  <si>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</si>
  <si>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</si>
  <si>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</si>
  <si>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</si>
  <si>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</si>
  <si>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</si>
  <si>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</si>
  <si>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</si>
  <si>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</si>
  <si>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</si>
  <si>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</si>
  <si>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</si>
  <si>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</si>
  <si>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</si>
  <si>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</si>
  <si>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</si>
  <si>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</si>
  <si>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</si>
  <si>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</si>
  <si>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</si>
  <si>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</si>
  <si>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</si>
  <si>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</si>
  <si>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</si>
  <si>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</si>
  <si>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</si>
  <si>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</si>
  <si>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</si>
  <si>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</si>
  <si>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</si>
  <si>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</si>
  <si>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</si>
  <si>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</si>
  <si>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</si>
  <si>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</si>
  <si>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</si>
  <si>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</si>
  <si>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</si>
  <si>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</si>
  <si>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</si>
  <si>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</si>
  <si>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</si>
  <si>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</si>
  <si>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</si>
  <si>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</si>
  <si>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</si>
  <si>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</si>
  <si>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</si>
  <si>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</si>
  <si>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</si>
  <si>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</si>
  <si>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</si>
  <si>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</si>
  <si>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</si>
  <si>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</si>
  <si>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</si>
  <si>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</si>
  <si>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</si>
  <si>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</si>
  <si>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</si>
  <si>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</si>
  <si>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</si>
  <si>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</si>
  <si>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</si>
  <si>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</si>
  <si>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</si>
  <si>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</si>
  <si>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</si>
  <si>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</si>
  <si>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</si>
  <si>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</si>
  <si>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</si>
  <si>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</si>
  <si>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</si>
  <si>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</si>
  <si>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</si>
  <si>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</si>
  <si>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</si>
  <si>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</si>
  <si>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</si>
  <si>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</si>
  <si>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</si>
  <si>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</si>
  <si>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</si>
  <si>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</si>
  <si>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</si>
  <si>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</si>
  <si>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</si>
  <si>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</si>
  <si>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</si>
  <si>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</si>
  <si>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</si>
  <si>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</si>
  <si>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</si>
  <si>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</si>
  <si>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</si>
  <si>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</si>
  <si>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</si>
  <si>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</si>
  <si>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</si>
  <si>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</si>
  <si>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</si>
  <si>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</si>
  <si>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</si>
  <si>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</si>
  <si>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</si>
  <si>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</si>
  <si>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</si>
  <si>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</si>
  <si>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</si>
  <si>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</si>
  <si>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</si>
  <si>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</si>
  <si>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</si>
  <si>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</si>
  <si>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</si>
  <si>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</si>
  <si>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</si>
  <si>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</si>
  <si>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</si>
  <si>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</si>
  <si>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</si>
  <si>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</si>
  <si>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</si>
  <si>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</si>
  <si>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</si>
  <si>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</si>
  <si>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</si>
  <si>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</si>
  <si>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</si>
  <si>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</si>
  <si>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</si>
  <si>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</si>
  <si>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</si>
  <si>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</si>
  <si>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</si>
  <si>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</si>
  <si>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</si>
  <si>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</si>
  <si>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</si>
  <si>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</si>
  <si>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</si>
  <si>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</si>
  <si>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</si>
  <si>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</si>
  <si>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</si>
  <si>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</si>
  <si>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</si>
  <si>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</si>
  <si>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</si>
  <si>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</si>
  <si>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</si>
  <si>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</si>
  <si>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</si>
  <si>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</si>
  <si>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</si>
  <si>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</si>
  <si>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</si>
  <si>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</si>
  <si>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</si>
  <si>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</si>
  <si>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</si>
  <si>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</si>
  <si>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</si>
  <si>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</si>
  <si>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</si>
  <si>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</si>
  <si>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</si>
  <si>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</si>
  <si>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</si>
  <si>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</si>
  <si>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</si>
  <si>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</si>
  <si>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</si>
  <si>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</si>
  <si>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</si>
  <si>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</si>
  <si>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</si>
  <si>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</si>
  <si>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</si>
  <si>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</si>
  <si>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</si>
  <si>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</si>
  <si>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</si>
  <si>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</si>
  <si>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</si>
  <si>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</si>
  <si>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</si>
  <si>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</si>
  <si>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</si>
  <si>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</si>
  <si>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</si>
  <si>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</si>
  <si>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</si>
  <si>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</si>
  <si>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</si>
  <si>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</si>
  <si>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</si>
  <si>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</si>
  <si>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</si>
  <si>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</si>
  <si>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</si>
  <si>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</si>
  <si>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</si>
  <si>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</si>
  <si>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</si>
  <si>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</si>
  <si>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</si>
  <si>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</si>
  <si>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</si>
  <si>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</si>
  <si>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</si>
  <si>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</si>
  <si>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</si>
  <si>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</si>
  <si>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</si>
  <si>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</si>
  <si>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</si>
  <si>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</si>
  <si>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</si>
  <si>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</si>
  <si>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</si>
  <si>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</si>
  <si>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</si>
  <si>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</si>
  <si>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</si>
  <si>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</si>
  <si>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</si>
  <si>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</si>
  <si>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</si>
  <si>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</si>
  <si>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</si>
  <si>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</si>
  <si>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</si>
  <si>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</si>
  <si>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</si>
  <si>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</si>
  <si>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</si>
  <si>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</si>
  <si>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</si>
  <si>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</si>
  <si>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</si>
  <si>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</si>
  <si>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</si>
  <si>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</si>
  <si>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</si>
  <si>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</si>
  <si>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</si>
  <si>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</si>
  <si>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</si>
  <si>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</si>
  <si>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</si>
  <si>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</si>
  <si>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</si>
  <si>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</si>
  <si>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</si>
  <si>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</si>
  <si>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</si>
  <si>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</si>
  <si>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</si>
  <si>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</si>
  <si>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</si>
  <si>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</si>
  <si>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</si>
  <si>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</si>
  <si>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</si>
  <si>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</si>
  <si>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</si>
  <si>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</si>
  <si>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</si>
  <si>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</si>
  <si>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</si>
  <si>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</si>
  <si>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</si>
  <si>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</si>
  <si>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</si>
  <si>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</si>
  <si>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</si>
  <si>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</si>
  <si>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</si>
  <si>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</si>
  <si>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</si>
  <si>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</si>
  <si>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</si>
  <si>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</si>
  <si>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</si>
  <si>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</si>
  <si>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</si>
  <si>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</si>
  <si>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</si>
  <si>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</si>
  <si>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</si>
  <si>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</si>
  <si>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</si>
  <si>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</si>
  <si>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</si>
  <si>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</si>
  <si>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</si>
  <si>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</si>
  <si>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</si>
  <si>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</si>
  <si>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</si>
  <si>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</si>
  <si>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</si>
  <si>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</si>
  <si>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</si>
  <si>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</si>
  <si>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</si>
  <si>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</si>
  <si>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</si>
  <si>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</si>
  <si>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</si>
  <si>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</si>
  <si>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</si>
  <si>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</si>
  <si>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</si>
  <si>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</si>
  <si>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</si>
  <si>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</si>
  <si>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</si>
  <si>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</si>
  <si>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</si>
  <si>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</si>
  <si>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</si>
  <si>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</si>
  <si>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</si>
  <si>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</si>
  <si>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</si>
  <si>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</si>
  <si>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</si>
  <si>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</si>
  <si>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</si>
  <si>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</si>
  <si>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</si>
  <si>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</si>
  <si>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</si>
  <si>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</si>
  <si>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</si>
  <si>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</si>
  <si>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</si>
  <si>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</si>
  <si>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</si>
  <si>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</si>
  <si>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</si>
  <si>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</si>
  <si>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</si>
  <si>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</si>
  <si>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</si>
  <si>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</si>
  <si>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</si>
  <si>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</si>
  <si>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</si>
  <si>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</si>
  <si>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</si>
  <si>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</si>
  <si>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</si>
  <si>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</si>
  <si>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</si>
  <si>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</si>
  <si>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</si>
  <si>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</si>
  <si>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</si>
  <si>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</si>
  <si>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</si>
  <si>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</si>
  <si>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</si>
  <si>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</si>
  <si>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</si>
  <si>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</si>
  <si>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</si>
  <si>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</si>
  <si>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</si>
  <si>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</si>
  <si>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</si>
  <si>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</si>
  <si>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</si>
  <si>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</si>
  <si>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</si>
  <si>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</si>
  <si>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</si>
  <si>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</si>
  <si>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</si>
  <si>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</si>
  <si>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</si>
  <si>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</si>
  <si>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</si>
  <si>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</si>
  <si>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</si>
  <si>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</si>
  <si>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</si>
  <si>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</si>
  <si>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</si>
  <si>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</si>
  <si>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</si>
  <si>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</si>
  <si>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</si>
  <si>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</si>
  <si>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</si>
  <si>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</si>
  <si>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</si>
  <si>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</si>
  <si>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</si>
  <si>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</si>
  <si>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</si>
  <si>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</si>
  <si>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</si>
  <si>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</si>
  <si>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</si>
  <si>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</si>
  <si>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</si>
  <si>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</si>
  <si>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</si>
  <si>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</si>
  <si>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</si>
  <si>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</si>
  <si>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</si>
  <si>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</si>
  <si>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</si>
  <si>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</si>
  <si>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</si>
  <si>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</si>
  <si>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</si>
  <si>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</si>
  <si>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</si>
  <si>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</si>
  <si>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</si>
  <si>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</si>
  <si>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</si>
  <si>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</si>
  <si>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</si>
  <si>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</si>
  <si>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</si>
  <si>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</si>
  <si>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</si>
  <si>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</si>
  <si>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</si>
  <si>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</si>
  <si>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</si>
  <si>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</si>
  <si>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</si>
  <si>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</si>
  <si>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</si>
  <si>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</si>
  <si>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</si>
  <si>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</si>
  <si>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</si>
  <si>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</si>
  <si>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</si>
  <si>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</si>
  <si>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</si>
  <si>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</si>
  <si>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</si>
  <si>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</si>
  <si>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</si>
  <si>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</si>
  <si>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</si>
  <si>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</si>
  <si>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</si>
  <si>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</si>
  <si>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</si>
  <si>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</si>
  <si>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</si>
  <si>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</si>
  <si>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</si>
  <si>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</si>
  <si>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</si>
  <si>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</si>
  <si>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</si>
  <si>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</si>
  <si>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</si>
  <si>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</si>
  <si>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</si>
  <si>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</si>
  <si>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</si>
  <si>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</si>
  <si>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</si>
  <si>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</si>
  <si>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</si>
  <si>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</si>
  <si>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</si>
  <si>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</si>
  <si>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</si>
  <si>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</si>
  <si>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</si>
  <si>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</si>
  <si>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</si>
  <si>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</si>
  <si>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</si>
  <si>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</si>
  <si>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</si>
  <si>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</si>
  <si>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</si>
  <si>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</si>
  <si>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</si>
  <si>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</si>
  <si>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</si>
  <si>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</si>
  <si>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</si>
  <si>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</si>
  <si>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</si>
  <si>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</si>
  <si>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</si>
  <si>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</si>
  <si>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</si>
  <si>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</si>
  <si>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</si>
  <si>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</si>
  <si>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</si>
  <si>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</si>
  <si>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</si>
  <si>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</si>
  <si>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</si>
  <si>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</si>
  <si>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</si>
  <si>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</si>
  <si>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</si>
  <si>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</si>
  <si>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</si>
  <si>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</si>
  <si>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</si>
  <si>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</si>
  <si>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</si>
  <si>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</si>
  <si>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</si>
  <si>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</si>
  <si>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</si>
  <si>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</si>
  <si>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</si>
  <si>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</si>
  <si>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</si>
  <si>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</si>
  <si>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</si>
  <si>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</si>
  <si>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</si>
  <si>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</si>
  <si>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</si>
  <si>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</si>
  <si>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</si>
  <si>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</si>
  <si>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</si>
  <si>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</si>
  <si>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</si>
  <si>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</si>
  <si>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</si>
  <si>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</si>
  <si>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</si>
  <si>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</si>
  <si>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</si>
  <si>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</si>
  <si>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</si>
  <si>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</si>
  <si>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</si>
  <si>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</si>
  <si>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</si>
  <si>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</si>
  <si>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</si>
  <si>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</si>
  <si>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</si>
  <si>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</si>
  <si>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</si>
  <si>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</si>
  <si>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</si>
  <si>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</si>
  <si>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</si>
  <si>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</si>
  <si>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</si>
  <si>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</si>
  <si>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</si>
  <si>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</si>
  <si>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</si>
  <si>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</si>
  <si>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</si>
  <si>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</si>
  <si>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</si>
  <si>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</si>
  <si>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</si>
  <si>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</si>
  <si>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</si>
  <si>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</si>
  <si>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</si>
  <si>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</si>
  <si>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</si>
  <si>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</si>
  <si>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</si>
  <si>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</si>
  <si>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</si>
  <si>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</si>
  <si>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</si>
  <si>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</si>
  <si>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</si>
  <si>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</si>
  <si>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</si>
  <si>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</si>
  <si>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</si>
  <si>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</si>
  <si>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</si>
  <si>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</si>
  <si>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</si>
  <si>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</si>
  <si>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</si>
  <si>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</si>
  <si>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</si>
  <si>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</si>
  <si>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</si>
  <si>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</si>
  <si>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</si>
  <si>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</si>
  <si>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</si>
  <si>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</si>
  <si>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</si>
  <si>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</si>
  <si>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</si>
  <si>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</si>
  <si>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</si>
  <si>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</si>
  <si>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</si>
  <si>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</si>
  <si>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</si>
  <si>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</si>
  <si>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</si>
  <si>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</si>
  <si>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</si>
  <si>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</si>
  <si>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</si>
  <si>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</si>
  <si>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</si>
  <si>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</si>
  <si>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</si>
  <si>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</si>
  <si>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</si>
  <si>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</si>
  <si>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</si>
  <si>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</si>
  <si>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</si>
  <si>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</si>
  <si>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</si>
  <si>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</si>
  <si>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</si>
  <si>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</si>
  <si>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</si>
  <si>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</si>
  <si>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</si>
  <si>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</si>
  <si>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</si>
  <si>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</si>
  <si>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</si>
  <si>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</si>
  <si>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</si>
  <si>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</si>
  <si>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</si>
  <si>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</si>
  <si>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</si>
  <si>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</si>
  <si>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</si>
  <si>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</si>
  <si>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</si>
  <si>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</si>
  <si>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</si>
  <si>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</si>
  <si>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</si>
  <si>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</si>
  <si>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</si>
  <si>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</si>
  <si>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</si>
  <si>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</si>
  <si>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</si>
  <si>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</si>
  <si>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</si>
  <si>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</si>
  <si>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</si>
  <si>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</si>
  <si>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</si>
  <si>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</si>
  <si>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</si>
  <si>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</si>
  <si>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</si>
  <si>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</si>
  <si>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</si>
  <si>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</si>
  <si>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</si>
  <si>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</si>
  <si>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</si>
  <si>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</si>
  <si>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</si>
  <si>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</si>
  <si>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</si>
  <si>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</si>
  <si>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</si>
  <si>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</si>
  <si>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</si>
  <si>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</si>
  <si>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</si>
  <si>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</si>
  <si>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</si>
  <si>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</si>
  <si>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</si>
  <si>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</si>
  <si>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</si>
  <si>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</si>
  <si>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</si>
  <si>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</si>
  <si>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</si>
  <si>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</si>
  <si>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</si>
  <si>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</si>
  <si>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</si>
  <si>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</si>
  <si>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</si>
  <si>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</si>
  <si>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</si>
  <si>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</si>
  <si>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</si>
  <si>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</si>
  <si>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</si>
  <si>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</si>
  <si>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</si>
  <si>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</si>
  <si>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</si>
  <si>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</si>
  <si>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</si>
  <si>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</si>
  <si>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</si>
  <si>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</si>
  <si>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</si>
  <si>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</si>
  <si>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</si>
  <si>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</si>
  <si>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</si>
  <si>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</si>
  <si>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</si>
  <si>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</si>
  <si>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</si>
  <si>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</si>
  <si>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</si>
  <si>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</si>
  <si>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</si>
  <si>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</si>
  <si>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</si>
  <si>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</si>
  <si>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</si>
  <si>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</si>
  <si>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</si>
  <si>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</si>
  <si>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</si>
  <si>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</si>
  <si>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</si>
  <si>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</si>
  <si>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</si>
  <si>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</si>
  <si>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</si>
  <si>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</si>
  <si>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</si>
  <si>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</si>
  <si>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</si>
  <si>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</si>
  <si>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</si>
  <si>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</si>
  <si>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</si>
  <si>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</si>
  <si>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</si>
  <si>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</si>
  <si>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</si>
  <si>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</si>
  <si>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</si>
  <si>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</si>
  <si>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</si>
  <si>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</si>
  <si>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</si>
  <si>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</si>
  <si>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</si>
  <si>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</si>
  <si>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</si>
  <si>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</si>
  <si>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</si>
  <si>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</si>
  <si>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</si>
  <si>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</si>
  <si>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</si>
  <si>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</si>
  <si>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</si>
  <si>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</si>
  <si>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</si>
  <si>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</si>
  <si>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</si>
  <si>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</si>
  <si>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</si>
  <si>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</si>
  <si>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</si>
  <si>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</si>
  <si>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</si>
  <si>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</si>
  <si>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</si>
  <si>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</si>
  <si>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</si>
  <si>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</si>
  <si>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</si>
  <si>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</si>
  <si>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</si>
  <si>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</si>
  <si>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</si>
  <si>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</si>
  <si>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</si>
  <si>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</si>
  <si>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</si>
  <si>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</si>
  <si>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</si>
  <si>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</si>
  <si>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</si>
  <si>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</si>
  <si>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</si>
  <si>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</si>
  <si>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</si>
  <si>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</si>
  <si>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</si>
  <si>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</si>
  <si>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</si>
  <si>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</si>
  <si>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</si>
  <si>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</si>
  <si>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</si>
  <si>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</si>
  <si>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</si>
  <si>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</si>
  <si>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</si>
  <si>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</si>
  <si>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</si>
  <si>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</si>
  <si>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</si>
  <si>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</si>
  <si>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</si>
  <si>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</si>
  <si>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</si>
  <si>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</si>
  <si>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</si>
  <si>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</si>
  <si>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</si>
  <si>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</si>
  <si>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</si>
  <si>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</si>
  <si>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</si>
  <si>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</si>
  <si>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</si>
  <si>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</si>
  <si>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</si>
  <si>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</si>
  <si>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</si>
  <si>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</si>
  <si>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</si>
  <si>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</si>
  <si>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</si>
  <si>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</si>
  <si>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</si>
  <si>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</si>
  <si>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</si>
  <si>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</si>
  <si>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</si>
  <si>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</si>
  <si>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</si>
  <si>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</si>
  <si>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</si>
  <si>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</si>
  <si>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</si>
  <si>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</si>
  <si>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</si>
  <si>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</si>
  <si>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</si>
  <si>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</si>
  <si>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</si>
  <si>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</si>
  <si>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</si>
  <si>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</si>
  <si>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</si>
  <si>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</si>
  <si>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</si>
  <si>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</si>
  <si>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</si>
  <si>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</si>
  <si>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</si>
  <si>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</si>
  <si>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</si>
  <si>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</si>
  <si>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</si>
  <si>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</si>
  <si>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</si>
  <si>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</si>
  <si>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</si>
  <si>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</si>
  <si>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</si>
  <si>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</si>
  <si>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</si>
  <si>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</si>
  <si>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</si>
  <si>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</si>
  <si>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</si>
  <si>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</si>
  <si>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</si>
  <si>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</si>
  <si>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</si>
  <si>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</si>
  <si>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</si>
  <si>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</si>
  <si>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</si>
  <si>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</si>
  <si>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</si>
  <si>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</si>
  <si>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</si>
  <si>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</si>
  <si>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</si>
  <si>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</si>
  <si>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</si>
  <si>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</si>
  <si>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</si>
  <si>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</si>
  <si>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</si>
  <si>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</si>
  <si>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</si>
  <si>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</si>
  <si>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</si>
  <si>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</si>
  <si>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</si>
  <si>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</si>
  <si>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</si>
  <si>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</si>
  <si>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</si>
  <si>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</si>
  <si>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</si>
  <si>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</si>
  <si>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</si>
  <si>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</si>
  <si>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</si>
  <si>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</si>
  <si>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</si>
  <si>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</si>
  <si>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</si>
  <si>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</si>
  <si>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</si>
  <si>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</si>
  <si>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</si>
  <si>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</si>
  <si>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</si>
  <si>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</si>
  <si>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</si>
  <si>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</si>
  <si>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</si>
  <si>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</si>
  <si>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</si>
  <si>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</si>
  <si>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</si>
  <si>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</si>
  <si>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</si>
  <si>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</si>
  <si>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</si>
  <si>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</si>
  <si>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</si>
  <si>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</si>
  <si>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</si>
  <si>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</si>
  <si>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</si>
  <si>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</si>
  <si>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</si>
  <si>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</si>
  <si>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</si>
  <si>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</si>
  <si>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</si>
  <si>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</si>
  <si>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</si>
  <si>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</si>
  <si>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</si>
  <si>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</si>
  <si>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</si>
  <si>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</si>
  <si>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</si>
  <si>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</si>
  <si>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</si>
  <si>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</si>
  <si>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</si>
  <si>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</si>
  <si>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</si>
  <si>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</si>
  <si>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</si>
  <si>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</si>
  <si>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</si>
  <si>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</si>
  <si>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</si>
  <si>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</si>
  <si>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</si>
  <si>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</si>
  <si>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</si>
  <si>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</si>
  <si>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</si>
  <si>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</si>
  <si>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</si>
  <si>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</si>
  <si>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</si>
  <si>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</si>
  <si>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</si>
  <si>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</si>
  <si>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</si>
  <si>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</si>
  <si>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</si>
  <si>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</si>
  <si>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</si>
  <si>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</si>
  <si>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</si>
  <si>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</si>
  <si>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</si>
  <si>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</si>
  <si>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</si>
  <si>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</si>
  <si>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</si>
  <si>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</si>
  <si>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</si>
  <si>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</si>
  <si>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</si>
  <si>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</si>
  <si>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</si>
  <si>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</si>
  <si>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</si>
  <si>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</si>
  <si>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</si>
  <si>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</si>
  <si>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</si>
  <si>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</si>
  <si>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</si>
  <si>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</si>
  <si>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</si>
  <si>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</si>
  <si>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</si>
  <si>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</si>
  <si>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</si>
  <si>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</si>
  <si>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</si>
  <si>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</si>
  <si>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</si>
  <si>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</si>
  <si>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</si>
  <si>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</si>
  <si>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</si>
  <si>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</si>
  <si>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</si>
  <si>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</si>
  <si>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</si>
  <si>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</si>
  <si>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</si>
  <si>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</si>
  <si>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</si>
  <si>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</si>
  <si>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</si>
  <si>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</si>
  <si>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</si>
  <si>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</si>
  <si>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</si>
  <si>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</si>
  <si>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</si>
  <si>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</si>
  <si>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</si>
  <si>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</si>
  <si>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</si>
  <si>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</si>
  <si>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</si>
  <si>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</si>
  <si>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</si>
  <si>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</si>
  <si>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</si>
  <si>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</si>
  <si>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</si>
  <si>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</si>
  <si>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</si>
  <si>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</si>
  <si>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</si>
  <si>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</si>
  <si>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</si>
  <si>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</si>
  <si>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</si>
  <si>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</si>
  <si>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</si>
  <si>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</si>
  <si>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</si>
  <si>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</si>
  <si>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</si>
  <si>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</si>
  <si>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</si>
  <si>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</si>
  <si>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</si>
  <si>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</si>
  <si>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</si>
  <si>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</si>
  <si>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</si>
  <si>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</si>
  <si>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</si>
  <si>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</si>
  <si>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</si>
  <si>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</si>
  <si>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</si>
  <si>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</si>
  <si>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</si>
  <si>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</si>
  <si>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</si>
  <si>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</si>
  <si>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</si>
  <si>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</si>
  <si>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</si>
  <si>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</si>
  <si>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</si>
  <si>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</si>
  <si>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</si>
  <si>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</si>
  <si>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</si>
  <si>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</si>
  <si>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</si>
  <si>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</si>
  <si>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</si>
  <si>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</si>
  <si>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</si>
  <si>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</si>
  <si>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</si>
  <si>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</si>
  <si>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</si>
  <si>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</si>
  <si>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</si>
  <si>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</si>
  <si>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</si>
  <si>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</si>
  <si>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</si>
  <si>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</si>
  <si>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</si>
  <si>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</si>
  <si>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</si>
  <si>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</si>
  <si>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</si>
  <si>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</si>
  <si>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</si>
  <si>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</si>
  <si>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</si>
  <si>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</si>
  <si>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</si>
  <si>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</si>
  <si>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</si>
  <si>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</si>
  <si>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</si>
  <si>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</si>
  <si>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</si>
  <si>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</si>
  <si>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</si>
  <si>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</si>
  <si>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</si>
  <si>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</si>
  <si>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</si>
  <si>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</si>
  <si>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</si>
  <si>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</si>
  <si>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</si>
  <si>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</si>
  <si>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</si>
  <si>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</si>
  <si>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</si>
  <si>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</si>
  <si>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</si>
  <si>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</si>
  <si>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</si>
  <si>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</si>
  <si>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</si>
  <si>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</si>
  <si>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</si>
  <si>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</si>
  <si>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</si>
  <si>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</si>
  <si>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</si>
  <si>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</si>
  <si>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</si>
  <si>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</si>
  <si>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</si>
  <si>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</si>
  <si>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</si>
  <si>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</si>
  <si>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</si>
  <si>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</si>
  <si>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</si>
  <si>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</si>
  <si>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</si>
  <si>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</si>
  <si>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</si>
  <si>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</si>
  <si>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</si>
  <si>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</si>
  <si>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</si>
  <si>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</si>
  <si>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</si>
  <si>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</si>
  <si>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</si>
  <si>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</si>
  <si>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</si>
  <si>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</si>
  <si>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</si>
  <si>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</si>
  <si>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</si>
  <si>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</si>
  <si>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</si>
  <si>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</si>
  <si>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</si>
  <si>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</si>
  <si>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</si>
  <si>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</si>
  <si>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</si>
  <si>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</si>
  <si>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</si>
  <si>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</si>
  <si>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</si>
  <si>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</si>
  <si>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</si>
  <si>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</si>
  <si>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</si>
  <si>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</si>
  <si>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</si>
  <si>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</si>
  <si>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</si>
  <si>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</si>
  <si>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</si>
  <si>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</si>
  <si>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</si>
  <si>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</si>
  <si>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</si>
  <si>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</si>
  <si>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</si>
  <si>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</si>
  <si>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</si>
  <si>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</si>
  <si>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</si>
  <si>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</si>
  <si>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</si>
  <si>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</si>
  <si>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</si>
  <si>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</si>
  <si>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</si>
  <si>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</si>
  <si>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</si>
  <si>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</si>
  <si>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</si>
  <si>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</si>
  <si>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</si>
  <si>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</si>
  <si>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</si>
  <si>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</si>
  <si>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</si>
  <si>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</si>
  <si>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</si>
  <si>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</si>
  <si>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</si>
  <si>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</si>
  <si>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</si>
  <si>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</si>
  <si>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</si>
  <si>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</si>
  <si>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</si>
  <si>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</si>
  <si>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</si>
  <si>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</si>
  <si>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</si>
  <si>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</si>
  <si>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</si>
  <si>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</si>
  <si>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</si>
  <si>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</si>
  <si>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</si>
  <si>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</si>
  <si>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</si>
  <si>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</si>
  <si>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</si>
  <si>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</si>
  <si>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</si>
  <si>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</si>
  <si>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</si>
  <si>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</si>
  <si>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</si>
  <si>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</si>
  <si>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</si>
  <si>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</si>
  <si>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</si>
  <si>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</si>
  <si>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</si>
  <si>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</si>
  <si>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</si>
  <si>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</si>
  <si>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</si>
  <si>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</si>
  <si>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</si>
  <si>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</si>
  <si>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</si>
  <si>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</si>
  <si>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</si>
  <si>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</si>
  <si>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</si>
  <si>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</si>
  <si>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</si>
  <si>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</si>
  <si>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</si>
  <si>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</si>
  <si>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</si>
  <si>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</si>
  <si>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</si>
  <si>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</si>
  <si>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</si>
  <si>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</si>
  <si>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</si>
  <si>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</si>
  <si>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</si>
  <si>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</si>
  <si>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</si>
  <si>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</si>
  <si>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</si>
  <si>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</si>
  <si>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</si>
  <si>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</si>
  <si>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</si>
  <si>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</si>
  <si>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</si>
  <si>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</si>
  <si>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</si>
  <si>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</si>
  <si>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</si>
  <si>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</si>
  <si>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</si>
  <si>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</si>
  <si>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</si>
  <si>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</si>
  <si>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</si>
  <si>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</si>
  <si>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</si>
  <si>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</si>
  <si>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</si>
  <si>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</si>
  <si>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</si>
  <si>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</si>
  <si>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</si>
  <si>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</si>
  <si>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</si>
  <si>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</si>
  <si>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</si>
  <si>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</si>
  <si>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</si>
  <si>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</si>
  <si>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</si>
  <si>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</si>
  <si>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</si>
  <si>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</si>
  <si>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</si>
  <si>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</si>
  <si>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</si>
  <si>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</si>
  <si>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</si>
  <si>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</si>
  <si>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</si>
  <si>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</si>
  <si>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</si>
  <si>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</si>
  <si>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</si>
  <si>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</si>
  <si>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</si>
  <si>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</si>
  <si>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</si>
  <si>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</si>
  <si>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</si>
  <si>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</si>
  <si>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</si>
  <si>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</si>
  <si>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</si>
  <si>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</si>
  <si>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</si>
  <si>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</si>
  <si>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</si>
  <si>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</si>
  <si>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</si>
  <si>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</si>
  <si>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</si>
  <si>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</si>
  <si>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</si>
  <si>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</si>
  <si>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</si>
  <si>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</si>
  <si>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</si>
  <si>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</si>
  <si>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</si>
  <si>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</si>
  <si>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</si>
  <si>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</si>
  <si>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</si>
  <si>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</si>
  <si>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</si>
  <si>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</si>
  <si>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</si>
  <si>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</si>
  <si>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</si>
  <si>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</si>
  <si>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</si>
  <si>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</si>
  <si>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</si>
  <si>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</si>
  <si>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</si>
  <si>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</si>
  <si>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</si>
  <si>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</si>
  <si>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</si>
  <si>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</si>
  <si>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</si>
  <si>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</si>
  <si>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</si>
  <si>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</si>
  <si>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</si>
  <si>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</si>
  <si>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</si>
  <si>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</si>
  <si>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</si>
  <si>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</si>
  <si>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</si>
  <si>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</si>
  <si>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</si>
  <si>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</si>
  <si>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</si>
  <si>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</si>
  <si>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</si>
  <si>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</si>
  <si>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</si>
  <si>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</si>
  <si>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</si>
  <si>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</si>
  <si>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</si>
  <si>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</si>
  <si>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</si>
  <si>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</si>
  <si>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</si>
  <si>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</si>
  <si>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</si>
  <si>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</si>
  <si>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</si>
  <si>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</si>
  <si>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</si>
  <si>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</si>
  <si>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</si>
  <si>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</si>
  <si>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</si>
  <si>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</si>
  <si>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</si>
  <si>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</si>
  <si>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</si>
  <si>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</si>
  <si>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</si>
  <si>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</si>
  <si>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</si>
  <si>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</si>
  <si>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</si>
  <si>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</si>
  <si>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</si>
  <si>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</si>
  <si>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</si>
  <si>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</si>
  <si>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</si>
  <si>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</si>
  <si>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</si>
  <si>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</si>
  <si>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</si>
  <si>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</si>
  <si>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</si>
  <si>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</si>
  <si>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</si>
  <si>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</si>
  <si>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</si>
  <si>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</si>
  <si>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</si>
  <si>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</si>
  <si>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</si>
  <si>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</si>
  <si>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</si>
  <si>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</si>
  <si>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</si>
  <si>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</si>
  <si>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</si>
  <si>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</si>
  <si>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</si>
  <si>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</si>
  <si>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</si>
  <si>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</si>
  <si>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</si>
  <si>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</si>
  <si>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</si>
  <si>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</si>
  <si>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</si>
  <si>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</si>
  <si>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</si>
  <si>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</si>
  <si>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</si>
  <si>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</si>
  <si>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</si>
  <si>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</si>
  <si>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</si>
  <si>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</si>
  <si>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</si>
  <si>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</si>
  <si>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</si>
  <si>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</si>
  <si>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</si>
  <si>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</si>
  <si>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</si>
  <si>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</si>
  <si>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</si>
  <si>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</si>
  <si>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</si>
  <si>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</si>
  <si>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</si>
  <si>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</si>
  <si>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</si>
  <si>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</si>
  <si>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</si>
  <si>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</si>
  <si>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</si>
  <si>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</si>
  <si>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</si>
  <si>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</si>
  <si>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</si>
  <si>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</si>
  <si>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</si>
  <si>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</si>
  <si>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</si>
  <si>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</si>
  <si>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</si>
  <si>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</si>
  <si>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</si>
  <si>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</si>
  <si>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</si>
  <si>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</si>
  <si>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</si>
  <si>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</si>
  <si>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</si>
  <si>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</si>
  <si>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</si>
  <si>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</si>
  <si>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</si>
  <si>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</si>
  <si>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</si>
  <si>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</si>
  <si>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</si>
  <si>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</si>
  <si>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</si>
  <si>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</si>
  <si>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</si>
  <si>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</si>
  <si>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</si>
  <si>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</si>
  <si>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</si>
  <si>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</si>
  <si>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</si>
  <si>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</si>
  <si>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</si>
  <si>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</si>
  <si>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</si>
  <si>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</si>
  <si>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</si>
  <si>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</si>
  <si>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</si>
  <si>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</si>
  <si>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</si>
  <si>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</si>
  <si>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</si>
  <si>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</si>
  <si>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</si>
  <si>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</si>
  <si>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</si>
  <si>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</si>
  <si>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</si>
  <si>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</si>
  <si>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</si>
  <si>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</si>
  <si>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</si>
  <si>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</si>
  <si>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</si>
  <si>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</si>
  <si>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</si>
  <si>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</si>
  <si>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</si>
  <si>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</si>
  <si>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</si>
  <si>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</si>
  <si>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</si>
  <si>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</si>
  <si>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</si>
  <si>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</si>
  <si>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</si>
  <si>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</si>
  <si>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</si>
  <si>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</si>
  <si>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</si>
  <si>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</si>
  <si>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</si>
  <si>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</si>
  <si>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</si>
  <si>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</si>
  <si>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</si>
  <si>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</si>
  <si>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</si>
  <si>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</si>
  <si>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</si>
  <si>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</si>
  <si>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</si>
  <si>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</si>
  <si>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</si>
  <si>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</si>
  <si>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</si>
  <si>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</si>
  <si>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</si>
  <si>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</si>
  <si>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</si>
  <si>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</si>
  <si>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</si>
  <si>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</si>
  <si>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</si>
  <si>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</si>
  <si>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</si>
  <si>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</si>
  <si>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</si>
  <si>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</si>
  <si>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</si>
  <si>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</si>
  <si>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</si>
  <si>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</si>
  <si>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</si>
  <si>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</si>
  <si>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</si>
  <si>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</si>
  <si>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</si>
  <si>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</si>
  <si>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</si>
  <si>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</si>
  <si>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</si>
  <si>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</si>
  <si>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</si>
  <si>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</si>
  <si>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</si>
  <si>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</si>
  <si>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</si>
  <si>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</si>
  <si>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</si>
  <si>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</si>
  <si>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</si>
  <si>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</si>
  <si>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</si>
  <si>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</si>
  <si>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</si>
  <si>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</si>
  <si>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</si>
  <si>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</si>
  <si>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</si>
  <si>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</si>
  <si>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</si>
  <si>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</si>
  <si>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</si>
  <si>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</si>
  <si>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</si>
  <si>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</si>
  <si>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</si>
  <si>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</si>
  <si>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</si>
  <si>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</si>
  <si>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</si>
  <si>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</si>
  <si>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</si>
  <si>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</si>
  <si>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</si>
  <si>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</si>
  <si>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</si>
  <si>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</si>
  <si>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</si>
  <si>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</si>
  <si>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</si>
  <si>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</si>
  <si>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</si>
  <si>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</si>
  <si>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</si>
  <si>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</si>
  <si>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</si>
  <si>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</si>
  <si>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</si>
  <si>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</si>
  <si>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</si>
  <si>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</si>
  <si>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</si>
  <si>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</si>
  <si>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</si>
  <si>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</si>
  <si>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</si>
  <si>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</si>
  <si>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</si>
  <si>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</si>
  <si>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</si>
  <si>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</si>
  <si>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</si>
  <si>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</si>
  <si>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</si>
  <si>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</si>
  <si>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</si>
  <si>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</si>
  <si>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</si>
  <si>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</si>
  <si>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</si>
  <si>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</si>
  <si>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</si>
  <si>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</si>
  <si>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</si>
  <si>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</si>
  <si>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</si>
  <si>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</si>
  <si>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</si>
  <si>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</si>
  <si>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</si>
  <si>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</si>
  <si>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</si>
  <si>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</si>
  <si>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</si>
  <si>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</si>
  <si>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</si>
  <si>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</si>
  <si>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</si>
  <si>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</si>
  <si>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</si>
  <si>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</si>
  <si>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</si>
  <si>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</si>
  <si>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</si>
  <si>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</si>
  <si>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</si>
  <si>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</si>
  <si>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</si>
  <si>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</si>
  <si>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</si>
  <si>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</si>
  <si>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</si>
  <si>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</si>
  <si>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</si>
  <si>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</si>
  <si>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</si>
  <si>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</si>
  <si>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</si>
  <si>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</si>
  <si>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</si>
  <si>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</si>
  <si>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</si>
  <si>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</si>
  <si>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</si>
  <si>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</si>
  <si>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</si>
  <si>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</si>
  <si>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</si>
  <si>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</si>
  <si>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</si>
  <si>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</si>
  <si>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</si>
  <si>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</si>
  <si>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</si>
  <si>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</si>
  <si>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</si>
  <si>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</si>
  <si>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</si>
  <si>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</si>
  <si>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</si>
  <si>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</si>
  <si>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</si>
  <si>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</si>
  <si>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</si>
  <si>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</si>
  <si>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</si>
  <si>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</si>
  <si>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</si>
  <si>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</si>
  <si>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</si>
  <si>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</si>
  <si>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</si>
  <si>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</si>
  <si>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</si>
  <si>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</si>
  <si>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</si>
  <si>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</si>
  <si>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</si>
  <si>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</si>
  <si>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</si>
  <si>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</si>
  <si>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</si>
  <si>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</si>
  <si>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</si>
  <si>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</si>
  <si>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</si>
  <si>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</si>
  <si>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</si>
  <si>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</si>
  <si>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</si>
  <si>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</si>
  <si>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</si>
  <si>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</si>
  <si>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</si>
  <si>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</si>
  <si>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</si>
  <si>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</si>
  <si>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</si>
  <si>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</si>
  <si>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</si>
  <si>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</si>
  <si>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</si>
  <si>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</si>
  <si>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</si>
  <si>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</si>
  <si>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</si>
  <si>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</si>
  <si>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</si>
  <si>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</si>
  <si>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</si>
  <si>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</si>
  <si>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</si>
  <si>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</si>
  <si>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</si>
  <si>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</si>
  <si>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</si>
  <si>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</si>
  <si>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</si>
  <si>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</si>
  <si>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</si>
  <si>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</si>
  <si>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</si>
  <si>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</si>
  <si>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</si>
  <si>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</si>
  <si>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</si>
  <si>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</si>
  <si>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</si>
  <si>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</si>
  <si>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</si>
  <si>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</si>
  <si>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</si>
  <si>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</si>
  <si>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</si>
  <si>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</si>
  <si>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</si>
  <si>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</si>
  <si>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</si>
  <si>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</si>
  <si>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</si>
  <si>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</si>
  <si>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</si>
  <si>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</si>
  <si>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</si>
  <si>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</si>
  <si>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</si>
  <si>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</si>
  <si>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</si>
  <si>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</si>
  <si>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</si>
  <si>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</si>
  <si>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</si>
  <si>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</si>
  <si>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</si>
  <si>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</si>
  <si>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</si>
  <si>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</si>
  <si>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</si>
  <si>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</si>
  <si>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</si>
  <si>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</si>
  <si>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</si>
  <si>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</si>
  <si>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</si>
  <si>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</si>
  <si>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</si>
  <si>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</si>
  <si>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</si>
  <si>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</si>
  <si>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</si>
  <si>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</si>
  <si>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</si>
  <si>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</si>
  <si>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</si>
  <si>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</si>
  <si>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</si>
  <si>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</si>
  <si>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</si>
  <si>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</si>
  <si>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</si>
  <si>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</si>
  <si>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</si>
  <si>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</si>
  <si>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</si>
  <si>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</si>
  <si>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</si>
  <si>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</si>
  <si>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</si>
  <si>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</si>
  <si>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</si>
  <si>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</si>
  <si>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</si>
  <si>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</si>
  <si>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</si>
  <si>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</si>
  <si>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</si>
  <si>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</si>
  <si>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</si>
  <si>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</si>
  <si>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</si>
  <si>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</si>
  <si>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</si>
  <si>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</si>
  <si>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</si>
  <si>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</si>
  <si>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</si>
  <si>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</si>
  <si>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</si>
  <si>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</si>
  <si>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</si>
  <si>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</si>
  <si>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</si>
  <si>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</si>
  <si>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</si>
  <si>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</si>
  <si>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</si>
  <si>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</si>
  <si>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</si>
  <si>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</si>
  <si>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</si>
  <si>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</si>
  <si>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</si>
  <si>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</si>
  <si>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</si>
  <si>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</si>
  <si>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</si>
  <si>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</si>
  <si>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</si>
  <si>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</si>
  <si>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</si>
  <si>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</si>
  <si>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</si>
  <si>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</si>
  <si>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</si>
  <si>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</si>
  <si>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</si>
  <si>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</si>
  <si>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</si>
  <si>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</si>
  <si>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</si>
  <si>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</si>
  <si>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</si>
  <si>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</si>
  <si>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</si>
  <si>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</si>
  <si>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</si>
  <si>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</si>
  <si>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</si>
  <si>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</si>
  <si>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</si>
  <si>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</si>
  <si>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</si>
  <si>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</si>
  <si>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</si>
  <si>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</si>
  <si>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</si>
  <si>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</si>
  <si>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</si>
  <si>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</si>
  <si>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</si>
  <si>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</si>
  <si>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</si>
  <si>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</si>
  <si>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</si>
  <si>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</si>
  <si>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</si>
  <si>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</si>
  <si>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</si>
  <si>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</si>
  <si>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</si>
  <si>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</si>
  <si>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</si>
  <si>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</si>
  <si>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</si>
  <si>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</si>
  <si>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</si>
  <si>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</si>
  <si>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</si>
  <si>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</si>
  <si>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</si>
  <si>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</si>
  <si>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</si>
  <si>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</si>
  <si>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</si>
  <si>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</si>
  <si>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</si>
  <si>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</si>
  <si>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</si>
  <si>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</si>
  <si>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</si>
  <si>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</si>
  <si>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</si>
  <si>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</si>
  <si>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</si>
  <si>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</si>
  <si>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</si>
  <si>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</si>
  <si>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</si>
  <si>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</si>
  <si>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</si>
  <si>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</si>
  <si>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</si>
  <si>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</si>
  <si>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</si>
  <si>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</si>
  <si>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</si>
  <si>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</si>
  <si>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</si>
  <si>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</si>
  <si>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</si>
  <si>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</si>
  <si>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</si>
  <si>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</si>
  <si>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</si>
  <si>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</si>
  <si>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</si>
  <si>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</si>
  <si>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</si>
  <si>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</si>
  <si>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</si>
  <si>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</si>
  <si>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</si>
  <si>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</si>
  <si>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</si>
  <si>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</si>
  <si>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</si>
  <si>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</si>
  <si>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</si>
  <si>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</si>
  <si>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</si>
  <si>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</si>
  <si>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</si>
  <si>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</si>
  <si>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</si>
  <si>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</si>
  <si>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</si>
  <si>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</si>
  <si>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</si>
  <si>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</si>
  <si>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</si>
  <si>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</si>
  <si>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</si>
  <si>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</si>
  <si>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</si>
  <si>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</si>
  <si>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</si>
  <si>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</si>
  <si>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</si>
  <si>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</si>
  <si>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</si>
  <si>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</si>
  <si>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</si>
  <si>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</si>
  <si>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</si>
  <si>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</si>
  <si>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</si>
  <si>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</si>
  <si>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</si>
  <si>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</si>
  <si>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</si>
  <si>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</si>
  <si>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</si>
  <si>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</si>
  <si>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</si>
  <si>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</si>
  <si>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</si>
  <si>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</si>
  <si>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</si>
  <si>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</si>
  <si>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</si>
  <si>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</si>
  <si>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</si>
  <si>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</si>
  <si>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</si>
  <si>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</si>
  <si>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</si>
  <si>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</si>
  <si>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</si>
  <si>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</si>
  <si>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</si>
  <si>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</si>
  <si>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</si>
  <si>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</si>
  <si>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</si>
  <si>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</si>
  <si>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</si>
  <si>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</si>
  <si>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</si>
  <si>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</si>
  <si>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</si>
  <si>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</si>
  <si>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</si>
  <si>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</si>
  <si>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</si>
  <si>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</si>
  <si>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</si>
  <si>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</si>
  <si>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</si>
  <si>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</si>
  <si>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</si>
  <si>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</si>
  <si>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</si>
  <si>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</si>
  <si>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</si>
  <si>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</si>
  <si>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</si>
  <si>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</si>
  <si>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</si>
  <si>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</si>
  <si>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</si>
  <si>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</si>
  <si>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</si>
  <si>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</si>
  <si>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</si>
  <si>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</si>
  <si>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</si>
  <si>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</si>
  <si>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</si>
  <si>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</si>
  <si>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</si>
  <si>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</si>
  <si>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</si>
  <si>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</si>
  <si>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</si>
  <si>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</si>
  <si>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</si>
  <si>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</si>
  <si>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</si>
  <si>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</si>
  <si>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</si>
  <si>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</si>
  <si>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</si>
  <si>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</si>
  <si>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</si>
  <si>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</si>
  <si>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</si>
  <si>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</si>
  <si>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</si>
  <si>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</si>
  <si>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</si>
  <si>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</si>
  <si>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</si>
  <si>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</si>
  <si>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</si>
  <si>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</si>
  <si>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</si>
  <si>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</si>
  <si>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</si>
  <si>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</si>
  <si>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</si>
  <si>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</si>
  <si>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</si>
  <si>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</si>
  <si>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</si>
  <si>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</si>
  <si>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</si>
  <si>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</si>
  <si>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</si>
  <si>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</si>
  <si>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</si>
  <si>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</si>
  <si>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</si>
  <si>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</si>
  <si>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</si>
  <si>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</si>
  <si>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</si>
  <si>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</si>
  <si>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</si>
  <si>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</si>
  <si>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</si>
  <si>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</si>
  <si>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</si>
  <si>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</si>
  <si>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</si>
  <si>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</si>
  <si>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</si>
  <si>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</si>
  <si>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</si>
  <si>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</si>
  <si>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</si>
  <si>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</si>
  <si>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</si>
  <si>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</si>
  <si>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</si>
  <si>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</si>
  <si>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</si>
  <si>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</si>
  <si>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</si>
  <si>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</si>
  <si>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</si>
  <si>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</si>
  <si>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</si>
  <si>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</si>
  <si>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</si>
  <si>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</si>
  <si>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</si>
  <si>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</si>
  <si>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</si>
  <si>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</si>
  <si>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</si>
  <si>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</si>
  <si>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</si>
  <si>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</si>
  <si>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</si>
  <si>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</si>
  <si>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</si>
  <si>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</si>
  <si>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</si>
  <si>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</si>
  <si>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</si>
  <si>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</si>
  <si>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</si>
  <si>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</si>
  <si>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</si>
  <si>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</si>
  <si>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</si>
  <si>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</si>
  <si>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</si>
  <si>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</si>
  <si>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</si>
  <si>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</si>
  <si>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</si>
  <si>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</si>
  <si>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</si>
  <si>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</si>
  <si>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</si>
  <si>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</si>
  <si>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</si>
  <si>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</si>
  <si>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</si>
  <si>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</si>
  <si>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</si>
  <si>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</si>
  <si>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</si>
  <si>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</si>
  <si>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</si>
  <si>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</si>
  <si>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</si>
  <si>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</si>
  <si>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</si>
  <si>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</si>
  <si>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</si>
  <si>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</si>
  <si>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</si>
  <si>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</si>
  <si>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</si>
  <si>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</si>
  <si>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</si>
  <si>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</si>
  <si>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</si>
  <si>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</si>
  <si>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</si>
  <si>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</si>
  <si>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</si>
  <si>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</si>
  <si>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</si>
  <si>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</si>
  <si>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</si>
  <si>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</si>
  <si>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</si>
  <si>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</si>
  <si>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</si>
  <si>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</si>
  <si>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</si>
  <si>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</si>
  <si>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</si>
  <si>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</si>
  <si>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</si>
  <si>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</si>
  <si>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</si>
  <si>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</si>
  <si>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</si>
  <si>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</si>
  <si>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</si>
  <si>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</si>
  <si>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</si>
  <si>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</si>
  <si>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</si>
  <si>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</si>
  <si>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</si>
  <si>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</si>
  <si>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</si>
  <si>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</si>
  <si>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</si>
  <si>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</si>
  <si>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</si>
  <si>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</si>
  <si>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</si>
  <si>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</si>
  <si>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</si>
  <si>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</si>
  <si>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</si>
  <si>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</si>
  <si>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</si>
  <si>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</si>
  <si>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</si>
  <si>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</si>
  <si>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</si>
  <si>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</si>
  <si>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</si>
  <si>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</si>
  <si>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</si>
  <si>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</si>
  <si>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</si>
  <si>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</si>
  <si>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</si>
  <si>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</si>
  <si>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</si>
  <si>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</si>
  <si>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</si>
  <si>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</si>
  <si>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</si>
  <si>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</si>
  <si>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</si>
  <si>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</si>
  <si>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</si>
  <si>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</si>
  <si>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</si>
  <si>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</si>
  <si>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</si>
  <si>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</si>
  <si>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</si>
  <si>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</si>
  <si>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</si>
  <si>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</si>
  <si>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</si>
  <si>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</si>
  <si>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</si>
  <si>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</si>
  <si>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</si>
  <si>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</si>
  <si>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</si>
  <si>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</si>
  <si>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</si>
  <si>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</si>
  <si>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</si>
  <si>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</si>
  <si>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</si>
  <si>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</si>
  <si>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</si>
  <si>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</si>
  <si>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</si>
  <si>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</si>
  <si>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</si>
  <si>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</si>
  <si>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</si>
  <si>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</si>
  <si>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</si>
  <si>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</si>
  <si>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</si>
  <si>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</si>
  <si>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</si>
  <si>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</si>
  <si>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</si>
  <si>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</si>
  <si>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</si>
  <si>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</si>
  <si>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</si>
  <si>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</si>
  <si>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</si>
  <si>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</si>
  <si>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</si>
  <si>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</si>
  <si>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</si>
  <si>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</si>
  <si>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</si>
  <si>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</si>
  <si>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</si>
  <si>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</si>
  <si>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</si>
  <si>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</si>
  <si>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</si>
  <si>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</si>
  <si>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</si>
  <si>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</si>
  <si>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</si>
  <si>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</si>
  <si>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</si>
  <si>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</si>
  <si>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</si>
  <si>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</si>
  <si>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</si>
  <si>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</si>
  <si>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</si>
  <si>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</si>
  <si>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</si>
  <si>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</si>
  <si>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</si>
  <si>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</si>
  <si>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</si>
  <si>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</si>
  <si>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</si>
  <si>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</si>
  <si>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</si>
  <si>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</si>
  <si>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</si>
  <si>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</si>
  <si>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</si>
  <si>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</si>
  <si>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</si>
  <si>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</si>
  <si>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</si>
  <si>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</si>
  <si>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</si>
  <si>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</si>
  <si>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</si>
  <si>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</si>
  <si>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</si>
  <si>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</si>
  <si>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</si>
  <si>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</si>
  <si>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</si>
  <si>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</si>
  <si>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</si>
  <si>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</si>
  <si>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</si>
  <si>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</si>
  <si>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</si>
  <si>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</si>
  <si>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</si>
  <si>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</si>
  <si>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</si>
  <si>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</si>
  <si>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</si>
  <si>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</si>
  <si>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</si>
  <si>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</si>
  <si>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</si>
  <si>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</si>
  <si>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</si>
  <si>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</si>
  <si>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</si>
  <si>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</si>
  <si>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</si>
  <si>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</si>
  <si>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</si>
  <si>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</si>
  <si>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</si>
  <si>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</si>
  <si>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</si>
  <si>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</si>
  <si>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</si>
  <si>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</si>
  <si>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</si>
  <si>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</si>
  <si>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</si>
  <si>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</si>
  <si>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</si>
  <si>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</si>
  <si>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</si>
  <si>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</si>
  <si>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</si>
  <si>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</si>
  <si>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</si>
  <si>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</si>
  <si>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</si>
  <si>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</si>
  <si>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</si>
  <si>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</si>
  <si>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</si>
  <si>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</si>
  <si>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</si>
  <si>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</si>
  <si>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</si>
  <si>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</si>
  <si>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</si>
  <si>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</si>
  <si>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</si>
  <si>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</si>
  <si>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</si>
  <si>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</si>
  <si>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</si>
  <si>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</si>
  <si>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</si>
  <si>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</si>
  <si>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</si>
  <si>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</si>
  <si>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</si>
  <si>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</si>
  <si>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</si>
  <si>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</si>
  <si>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</si>
  <si>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</si>
  <si>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</si>
  <si>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</si>
  <si>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</si>
  <si>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</si>
  <si>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</si>
  <si>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</si>
  <si>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</si>
  <si>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</si>
  <si>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</si>
  <si>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</si>
  <si>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</si>
  <si>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</si>
  <si>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</si>
  <si>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</si>
  <si>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</si>
  <si>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</si>
  <si>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</si>
  <si>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</si>
  <si>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</si>
  <si>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</si>
  <si>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</si>
  <si>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</si>
  <si>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</si>
  <si>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</si>
  <si>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</si>
  <si>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</si>
  <si>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</si>
  <si>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</si>
  <si>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</si>
  <si>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</si>
  <si>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</si>
  <si>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</si>
  <si>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</si>
  <si>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</si>
  <si>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</si>
  <si>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</si>
  <si>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</si>
  <si>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</si>
  <si>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</si>
  <si>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</si>
  <si>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</si>
  <si>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</si>
  <si>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</si>
  <si>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</si>
  <si>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</si>
  <si>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</si>
  <si>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</si>
  <si>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</si>
  <si>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</si>
  <si>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</si>
  <si>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</si>
  <si>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</si>
  <si>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</si>
  <si>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</si>
  <si>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</si>
  <si>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</si>
  <si>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</si>
  <si>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</si>
  <si>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</si>
  <si>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</si>
  <si>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</si>
  <si>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</si>
  <si>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</si>
  <si>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</si>
  <si>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</si>
  <si>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</si>
  <si>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</si>
  <si>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</si>
  <si>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</si>
  <si>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</si>
  <si>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</si>
  <si>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</si>
  <si>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</si>
  <si>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</si>
  <si>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</si>
  <si>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</si>
  <si>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</si>
  <si>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</si>
  <si>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</si>
  <si>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</si>
  <si>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</si>
  <si>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</si>
  <si>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</si>
  <si>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</si>
  <si>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</si>
  <si>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</si>
  <si>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</si>
  <si>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</si>
  <si>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</si>
  <si>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</si>
  <si>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</si>
  <si>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</si>
  <si>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</si>
  <si>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</si>
  <si>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</si>
  <si>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</si>
  <si>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</si>
  <si>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</si>
  <si>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</si>
  <si>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</si>
  <si>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</si>
  <si>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</si>
  <si>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</si>
  <si>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</si>
  <si>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</si>
  <si>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</si>
  <si>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</si>
  <si>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</si>
  <si>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</si>
  <si>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</si>
  <si>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</si>
  <si>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</si>
  <si>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</si>
  <si>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</si>
  <si>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</si>
  <si>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</si>
  <si>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</si>
  <si>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</si>
  <si>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</si>
  <si>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</si>
  <si>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</si>
  <si>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</si>
  <si>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</si>
  <si>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</si>
  <si>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</si>
  <si>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</si>
  <si>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</si>
  <si>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</si>
  <si>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</si>
  <si>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</si>
  <si>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</si>
  <si>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</si>
  <si>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</si>
  <si>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</si>
  <si>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</si>
  <si>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</si>
  <si>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</si>
  <si>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</si>
  <si>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</si>
  <si>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</si>
  <si>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</si>
  <si>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</si>
  <si>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</si>
  <si>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</si>
  <si>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</si>
  <si>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</si>
  <si>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</si>
  <si>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</si>
  <si>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</si>
  <si>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</si>
  <si>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</si>
  <si>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</si>
  <si>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</si>
  <si>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</si>
  <si>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</si>
  <si>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</si>
  <si>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</si>
  <si>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</si>
  <si>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</si>
  <si>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</si>
  <si>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</si>
  <si>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</si>
  <si>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</si>
  <si>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</si>
  <si>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</si>
  <si>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</si>
  <si>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</si>
  <si>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</si>
  <si>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</si>
  <si>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</si>
  <si>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</si>
  <si>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</si>
  <si>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</si>
  <si>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</si>
  <si>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</si>
  <si>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</si>
  <si>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</si>
  <si>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</si>
  <si>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</si>
  <si>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</si>
  <si>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</si>
  <si>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</si>
  <si>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</si>
  <si>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</si>
  <si>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</si>
  <si>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</si>
  <si>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</si>
  <si>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</si>
  <si>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</si>
  <si>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</si>
  <si>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</si>
  <si>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</si>
  <si>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</si>
  <si>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</si>
  <si>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</si>
  <si>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</si>
  <si>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</si>
  <si>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</si>
  <si>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</si>
  <si>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</si>
  <si>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</si>
  <si>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</si>
  <si>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</si>
  <si>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</si>
  <si>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</si>
  <si>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</si>
  <si>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</si>
  <si>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</si>
  <si>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</si>
  <si>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</si>
  <si>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</si>
  <si>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</si>
  <si>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</si>
  <si>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</si>
  <si>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</si>
  <si>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</si>
  <si>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</si>
  <si>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</si>
  <si>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</si>
  <si>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</si>
  <si>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</si>
  <si>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</si>
  <si>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</si>
  <si>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</si>
  <si>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</si>
  <si>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</si>
  <si>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</si>
  <si>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</si>
  <si>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</si>
  <si>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</si>
  <si>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</si>
  <si>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</si>
  <si>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</si>
  <si>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</si>
  <si>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</si>
  <si>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</si>
  <si>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</si>
  <si>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</si>
  <si>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</si>
  <si>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</si>
  <si>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</si>
  <si>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</si>
  <si>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</si>
  <si>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</si>
  <si>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</si>
  <si>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</si>
  <si>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</si>
  <si>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</si>
  <si>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</si>
  <si>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</si>
  <si>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</si>
  <si>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</si>
  <si>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</si>
  <si>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</si>
  <si>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</si>
  <si>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</si>
  <si>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</si>
  <si>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</si>
  <si>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</si>
  <si>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</si>
  <si>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</si>
  <si>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</si>
  <si>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</si>
  <si>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</si>
  <si>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</si>
  <si>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</si>
  <si>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</si>
  <si>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</si>
  <si>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</si>
  <si>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</si>
  <si>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</si>
  <si>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</si>
  <si>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</si>
  <si>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</si>
  <si>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</si>
  <si>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</si>
  <si>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</si>
  <si>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</si>
  <si>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</si>
  <si>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</si>
  <si>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</si>
  <si>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</si>
  <si>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</si>
  <si>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</si>
  <si>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</si>
  <si>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</si>
  <si>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</si>
  <si>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</si>
  <si>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</si>
  <si>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</si>
  <si>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</si>
  <si>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</si>
  <si>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</si>
  <si>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</si>
  <si>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</si>
  <si>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</si>
  <si>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</si>
  <si>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</si>
  <si>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</si>
  <si>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</si>
  <si>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</si>
  <si>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</si>
  <si>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</si>
  <si>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</si>
  <si>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</si>
  <si>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</si>
  <si>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</si>
  <si>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</si>
  <si>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</si>
  <si>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</si>
  <si>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</si>
  <si>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</si>
  <si>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</si>
  <si>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</si>
  <si>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</si>
  <si>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</si>
  <si>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</si>
  <si>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</si>
  <si>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</si>
  <si>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</si>
  <si>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</si>
  <si>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</si>
  <si>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</si>
  <si>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</si>
  <si>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</si>
  <si>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</si>
  <si>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</si>
  <si>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</si>
  <si>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</si>
  <si>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</si>
  <si>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</si>
  <si>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</si>
  <si>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</si>
  <si>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</si>
  <si>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</si>
  <si>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</si>
  <si>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</si>
  <si>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</si>
  <si>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</si>
  <si>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</si>
  <si>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</si>
  <si>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</si>
  <si>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</si>
  <si>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</si>
  <si>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</si>
  <si>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</si>
  <si>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</si>
  <si>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</si>
  <si>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</si>
  <si>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</si>
  <si>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</si>
  <si>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</si>
  <si>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</si>
  <si>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</si>
  <si>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</si>
  <si>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</si>
  <si>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</si>
  <si>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</si>
  <si>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</si>
  <si>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</si>
  <si>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</si>
  <si>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</si>
  <si>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</si>
  <si>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</si>
  <si>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</si>
  <si>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</si>
  <si>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</si>
  <si>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</si>
  <si>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</si>
  <si>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</si>
  <si>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</si>
  <si>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</si>
  <si>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</si>
  <si>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</si>
  <si>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</si>
  <si>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</si>
  <si>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</si>
  <si>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</si>
  <si>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</si>
  <si>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</si>
  <si>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</si>
  <si>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</si>
  <si>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</si>
  <si>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</si>
  <si>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</si>
  <si>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</si>
  <si>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</si>
  <si>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</si>
  <si>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</si>
  <si>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</si>
  <si>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</si>
  <si>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</si>
  <si>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</si>
  <si>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</si>
  <si>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</si>
  <si>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</si>
  <si>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</si>
  <si>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</si>
  <si>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</si>
  <si>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</si>
  <si>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</si>
  <si>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</si>
  <si>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</si>
  <si>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</si>
  <si>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</si>
  <si>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</si>
  <si>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</si>
  <si>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</si>
  <si>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</si>
  <si>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</si>
  <si>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</si>
  <si>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</si>
  <si>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</si>
  <si>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</si>
  <si>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</si>
  <si>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</si>
  <si>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</si>
  <si>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</si>
  <si>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</si>
  <si>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</si>
  <si>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</si>
  <si>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</si>
  <si>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</si>
  <si>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</si>
  <si>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</si>
  <si>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</si>
  <si>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</si>
  <si>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</si>
  <si>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</si>
  <si>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</si>
  <si>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</si>
  <si>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</si>
  <si>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</si>
  <si>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</si>
  <si>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</si>
  <si>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</si>
  <si>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</si>
  <si>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</si>
  <si>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</si>
  <si>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</si>
  <si>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</si>
  <si>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</si>
  <si>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</si>
  <si>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</si>
  <si>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</si>
  <si>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</si>
  <si>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</si>
  <si>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</si>
  <si>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</si>
  <si>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</si>
  <si>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</si>
  <si>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</si>
  <si>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</si>
  <si>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</si>
  <si>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</si>
  <si>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</si>
  <si>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</si>
  <si>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</si>
  <si>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</si>
  <si>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</si>
  <si>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</si>
  <si>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</si>
  <si>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</si>
  <si>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</si>
  <si>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</si>
  <si>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</si>
  <si>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</si>
  <si>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</si>
  <si>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</si>
  <si>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</si>
  <si>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</si>
  <si>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</si>
  <si>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</si>
  <si>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</si>
  <si>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</si>
  <si>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</si>
  <si>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</si>
  <si>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</si>
  <si>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</si>
  <si>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</si>
  <si>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</si>
  <si>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</si>
  <si>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</si>
  <si>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</si>
  <si>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</si>
  <si>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</si>
  <si>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</si>
  <si>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</si>
  <si>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</si>
  <si>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</si>
  <si>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</si>
  <si>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</si>
  <si>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</si>
  <si>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</si>
  <si>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</si>
  <si>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</si>
  <si>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</si>
  <si>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</si>
  <si>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</si>
  <si>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</si>
  <si>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</si>
  <si>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</si>
  <si>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</si>
  <si>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</si>
  <si>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</si>
  <si>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</si>
  <si>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</si>
  <si>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</si>
  <si>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</si>
  <si>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</si>
  <si>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</si>
  <si>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</si>
  <si>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</si>
  <si>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</si>
  <si>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</si>
  <si>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</si>
  <si>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</si>
  <si>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</si>
  <si>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</si>
  <si>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</si>
  <si>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</si>
  <si>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</si>
  <si>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</si>
  <si>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</si>
  <si>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</si>
  <si>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</si>
  <si>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</si>
  <si>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</si>
  <si>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</si>
  <si>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</si>
  <si>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</si>
  <si>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</si>
  <si>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</si>
  <si>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</si>
  <si>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</si>
  <si>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</si>
  <si>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</si>
  <si>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</si>
  <si>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</si>
  <si>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</si>
  <si>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</si>
  <si>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</si>
  <si>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</si>
  <si>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</si>
  <si>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</si>
  <si>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</si>
  <si>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</si>
  <si>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</si>
  <si>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</si>
  <si>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</si>
  <si>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</si>
  <si>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</si>
  <si>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</si>
  <si>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</si>
  <si>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</si>
  <si>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</si>
  <si>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</si>
  <si>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</si>
  <si>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</si>
  <si>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</si>
  <si>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</si>
  <si>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</si>
  <si>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</si>
  <si>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</si>
  <si>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</si>
  <si>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</si>
  <si>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</si>
  <si>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</si>
  <si>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</si>
  <si>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</si>
  <si>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</si>
  <si>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</si>
  <si>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</si>
  <si>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</si>
  <si>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</si>
  <si>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</si>
  <si>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</si>
  <si>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</si>
  <si>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</si>
  <si>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</si>
  <si>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</si>
  <si>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</si>
  <si>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</si>
  <si>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</si>
  <si>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</si>
  <si>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</si>
  <si>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</si>
  <si>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</si>
  <si>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</si>
  <si>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</si>
  <si>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</si>
  <si>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</si>
  <si>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</si>
  <si>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</si>
  <si>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</si>
  <si>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</si>
  <si>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</si>
  <si>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</si>
  <si>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</si>
  <si>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</si>
  <si>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</si>
  <si>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</si>
  <si>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</si>
  <si>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</si>
  <si>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</si>
  <si>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</si>
  <si>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</si>
  <si>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</si>
  <si>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</si>
  <si>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</si>
  <si>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</si>
  <si>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</si>
  <si>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</si>
  <si>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</si>
  <si>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</si>
  <si>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</si>
  <si>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</si>
  <si>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</si>
  <si>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</si>
  <si>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</si>
  <si>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</si>
  <si>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</si>
  <si>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</si>
  <si>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</si>
  <si>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</si>
  <si>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</si>
  <si>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</si>
  <si>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</si>
  <si>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</si>
  <si>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</si>
  <si>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</si>
  <si>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</si>
  <si>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</si>
  <si>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</si>
  <si>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</si>
  <si>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</si>
  <si>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</si>
  <si>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</si>
  <si>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</si>
  <si>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</si>
  <si>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</si>
  <si>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</si>
  <si>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</si>
  <si>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</si>
  <si>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</si>
  <si>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</si>
  <si>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</si>
  <si>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</si>
  <si>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</si>
  <si>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</si>
  <si>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</si>
  <si>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</si>
  <si>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</si>
  <si>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</si>
  <si>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</si>
  <si>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</si>
  <si>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</si>
  <si>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</si>
  <si>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</si>
  <si>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</si>
  <si>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</si>
  <si>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</si>
  <si>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</si>
  <si>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</si>
  <si>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</si>
  <si>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</si>
  <si>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</si>
  <si>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</si>
  <si>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</si>
  <si>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</si>
  <si>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</si>
  <si>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</si>
  <si>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</si>
  <si>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</si>
  <si>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</si>
  <si>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</si>
  <si>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</si>
  <si>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</si>
  <si>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</si>
  <si>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</si>
  <si>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</si>
  <si>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</si>
  <si>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</si>
  <si>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</si>
  <si>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</si>
  <si>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</si>
  <si>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</si>
  <si>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</si>
  <si>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</si>
  <si>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</si>
  <si>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</si>
  <si>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</si>
  <si>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</si>
  <si>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</si>
  <si>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</si>
  <si>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</si>
  <si>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</si>
  <si>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</si>
  <si>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</si>
  <si>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</si>
  <si>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</si>
  <si>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</si>
  <si>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</si>
  <si>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</si>
  <si>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</si>
  <si>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</si>
  <si>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</si>
  <si>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</si>
  <si>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</si>
  <si>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</si>
  <si>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</si>
  <si>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</si>
  <si>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</si>
  <si>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</si>
  <si>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</si>
  <si>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</si>
  <si>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</si>
  <si>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</si>
  <si>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</si>
  <si>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</si>
  <si>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</si>
  <si>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</si>
  <si>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</si>
  <si>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</si>
  <si>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</si>
  <si>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</si>
  <si>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</si>
  <si>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</si>
  <si>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</si>
  <si>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</si>
  <si>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</si>
  <si>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</si>
  <si>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</si>
  <si>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</si>
  <si>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</si>
  <si>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</si>
  <si>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</si>
  <si>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</si>
  <si>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</si>
  <si>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</si>
  <si>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</si>
  <si>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</si>
  <si>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</si>
  <si>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</si>
  <si>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</si>
  <si>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</si>
  <si>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</si>
  <si>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</si>
  <si>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</si>
  <si>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</si>
  <si>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</si>
  <si>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</si>
  <si>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</si>
  <si>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</si>
  <si>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</si>
  <si>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</si>
  <si>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</si>
  <si>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</si>
  <si>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</si>
  <si>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</si>
  <si>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</si>
  <si>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</si>
  <si>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</si>
  <si>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</si>
  <si>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</si>
  <si>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</si>
  <si>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</si>
  <si>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</si>
  <si>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</si>
  <si>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</si>
  <si>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</si>
  <si>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</si>
  <si>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</si>
  <si>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</si>
  <si>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</si>
  <si>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</si>
  <si>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</si>
  <si>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</si>
  <si>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</si>
  <si>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</si>
  <si>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</si>
  <si>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</si>
  <si>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</si>
  <si>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</si>
  <si>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</si>
  <si>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</si>
  <si>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</si>
  <si>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</si>
  <si>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</si>
  <si>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</si>
  <si>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</si>
  <si>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</si>
  <si>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</si>
  <si>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</si>
  <si>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</si>
  <si>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</si>
  <si>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</si>
  <si>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</si>
  <si>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</si>
  <si>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</si>
  <si>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</si>
  <si>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</si>
  <si>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</si>
  <si>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</si>
  <si>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</si>
  <si>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</si>
  <si>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</si>
  <si>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</si>
  <si>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</si>
  <si>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</si>
  <si>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</si>
  <si>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</si>
  <si>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</si>
  <si>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</si>
  <si>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</si>
  <si>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</si>
  <si>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</si>
  <si>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</si>
  <si>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</si>
  <si>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</si>
  <si>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</si>
  <si>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</si>
  <si>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</si>
  <si>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</si>
  <si>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</si>
  <si>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</si>
  <si>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</si>
  <si>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</si>
  <si>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</si>
  <si>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</si>
  <si>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</si>
  <si>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</si>
  <si>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</si>
  <si>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</si>
  <si>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</si>
  <si>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</si>
  <si>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</si>
  <si>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</si>
  <si>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</si>
  <si>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</si>
  <si>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</si>
  <si>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</si>
  <si>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</si>
  <si>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</si>
  <si>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</si>
  <si>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</si>
  <si>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</si>
  <si>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</si>
  <si>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</si>
  <si>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</si>
  <si>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</si>
  <si>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</si>
  <si>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</si>
  <si>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</si>
  <si>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</si>
  <si>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</si>
  <si>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</si>
  <si>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</si>
  <si>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</si>
  <si>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</si>
  <si>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</si>
  <si>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</si>
  <si>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</si>
  <si>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</si>
  <si>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</si>
  <si>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</si>
  <si>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</si>
  <si>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</si>
  <si>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</si>
  <si>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</si>
  <si>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</si>
  <si>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</si>
  <si>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</si>
  <si>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</si>
  <si>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</si>
  <si>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</si>
  <si>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</si>
  <si>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</si>
  <si>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</si>
  <si>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</si>
  <si>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</si>
  <si>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</si>
  <si>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</si>
  <si>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</si>
  <si>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</si>
  <si>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</si>
  <si>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</si>
  <si>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</si>
  <si>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</si>
  <si>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</si>
  <si>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</si>
  <si>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</si>
  <si>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</si>
  <si>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</si>
  <si>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</si>
  <si>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</si>
  <si>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</si>
  <si>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</si>
  <si>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</si>
  <si>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</si>
  <si>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</si>
  <si>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</si>
  <si>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</si>
  <si>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</si>
  <si>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</si>
  <si>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</si>
  <si>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</si>
  <si>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</si>
  <si>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</si>
  <si>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</si>
  <si>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</si>
  <si>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</si>
  <si>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</si>
  <si>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</si>
  <si>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</si>
  <si>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</si>
  <si>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</si>
  <si>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</si>
  <si>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</si>
  <si>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</si>
  <si>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</si>
  <si>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</si>
  <si>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</si>
  <si>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</si>
  <si>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</si>
  <si>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</si>
  <si>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</si>
  <si>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</si>
  <si>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</si>
  <si>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</si>
  <si>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</si>
  <si>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</si>
  <si>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</si>
  <si>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</si>
  <si>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</si>
  <si>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</si>
  <si>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</si>
  <si>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</si>
  <si>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</si>
  <si>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</si>
  <si>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</si>
  <si>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</si>
  <si>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</si>
  <si>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</si>
  <si>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</si>
  <si>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</si>
  <si>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</si>
  <si>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</si>
  <si>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</si>
  <si>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</si>
  <si>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</si>
  <si>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</si>
  <si>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</si>
  <si>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</si>
  <si>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</si>
  <si>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</si>
  <si>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</si>
  <si>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</si>
  <si>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</si>
  <si>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</si>
  <si>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</si>
  <si>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</si>
  <si>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</si>
  <si>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</si>
  <si>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</si>
  <si>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</si>
  <si>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</si>
  <si>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</si>
  <si>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</si>
  <si>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</si>
  <si>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</si>
  <si>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</si>
  <si>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</si>
  <si>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</si>
  <si>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</si>
  <si>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</si>
  <si>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</si>
  <si>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</si>
  <si>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</si>
  <si>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</si>
  <si>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</si>
  <si>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</si>
  <si>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</si>
  <si>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</si>
  <si>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</si>
  <si>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</si>
  <si>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</si>
  <si>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</si>
  <si>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</si>
  <si>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</si>
  <si>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</si>
  <si>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</si>
  <si>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</si>
  <si>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</si>
  <si>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</si>
  <si>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</si>
  <si>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</si>
  <si>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</si>
  <si>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</si>
  <si>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</si>
  <si>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</si>
  <si>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</si>
  <si>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</si>
  <si>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</si>
  <si>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</si>
  <si>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</si>
  <si>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</si>
  <si>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</si>
  <si>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</si>
  <si>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</si>
  <si>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</si>
  <si>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</si>
  <si>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</si>
  <si>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</si>
  <si>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</si>
  <si>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</si>
  <si>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</si>
  <si>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</si>
  <si>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</si>
  <si>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</si>
  <si>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</si>
  <si>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</si>
  <si>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</si>
  <si>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</si>
  <si>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</si>
  <si>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</si>
  <si>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</si>
  <si>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</si>
  <si>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</si>
  <si>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</si>
  <si>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</si>
  <si>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</si>
  <si>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</si>
  <si>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</si>
  <si>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</si>
  <si>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</si>
  <si>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</si>
  <si>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</si>
  <si>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</si>
  <si>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</si>
  <si>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</si>
  <si>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</si>
  <si>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</si>
  <si>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</si>
  <si>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</si>
  <si>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</si>
  <si>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</si>
  <si>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</si>
  <si>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</si>
  <si>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</si>
  <si>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</si>
  <si>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</si>
  <si>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</si>
  <si>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</si>
  <si>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</si>
  <si>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</si>
  <si>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</si>
  <si>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</si>
  <si>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</si>
  <si>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</si>
  <si>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</si>
  <si>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</si>
  <si>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</si>
  <si>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</si>
  <si>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</si>
  <si>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</si>
  <si>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</si>
  <si>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</si>
  <si>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</si>
  <si>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</si>
  <si>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</si>
  <si>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</si>
  <si>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</si>
  <si>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</si>
  <si>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</si>
  <si>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</si>
  <si>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</si>
  <si>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</si>
  <si>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</si>
  <si>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</si>
  <si>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</si>
  <si>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</si>
  <si>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</si>
  <si>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</si>
  <si>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</si>
  <si>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</si>
  <si>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</si>
  <si>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</si>
  <si>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</si>
  <si>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</si>
  <si>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</si>
  <si>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</si>
  <si>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</si>
  <si>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</si>
  <si>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</si>
  <si>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</si>
  <si>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</si>
  <si>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</si>
  <si>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</si>
  <si>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</si>
  <si>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</si>
  <si>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</si>
  <si>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</si>
  <si>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</si>
  <si>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</si>
  <si>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</si>
  <si>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</si>
  <si>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</si>
  <si>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</si>
  <si>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</si>
  <si>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</si>
  <si>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</si>
  <si>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</si>
  <si>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</si>
  <si>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</si>
  <si>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</si>
  <si>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</si>
  <si>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</si>
  <si>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</si>
  <si>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</si>
  <si>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</si>
  <si>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</si>
  <si>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</si>
  <si>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</si>
  <si>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</si>
  <si>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</si>
  <si>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</si>
  <si>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</si>
  <si>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</si>
  <si>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</si>
  <si>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</si>
  <si>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</si>
  <si>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</si>
  <si>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</si>
  <si>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</si>
  <si>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</si>
  <si>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</si>
  <si>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</si>
  <si>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</si>
  <si>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</si>
  <si>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</si>
  <si>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</si>
  <si>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</si>
  <si>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</si>
  <si>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</si>
  <si>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</si>
  <si>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</si>
  <si>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</si>
  <si>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</si>
  <si>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</si>
  <si>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</si>
  <si>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</si>
  <si>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</si>
  <si>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</si>
  <si>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</si>
  <si>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</si>
  <si>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</si>
  <si>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</si>
  <si>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</si>
  <si>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</si>
  <si>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</si>
  <si>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</si>
  <si>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</si>
  <si>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</si>
  <si>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</si>
  <si>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</si>
  <si>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</si>
  <si>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</si>
  <si>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</si>
  <si>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</si>
  <si>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</si>
  <si>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</si>
  <si>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</si>
  <si>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</si>
  <si>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</si>
  <si>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</si>
  <si>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</si>
  <si>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</si>
  <si>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</si>
  <si>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</si>
  <si>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</si>
  <si>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</si>
  <si>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</si>
  <si>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</si>
  <si>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</si>
  <si>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</si>
  <si>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</si>
  <si>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</si>
  <si>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</si>
  <si>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</si>
  <si>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</si>
  <si>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</si>
  <si>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</si>
  <si>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</si>
  <si>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</si>
  <si>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</si>
  <si>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</si>
  <si>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</si>
  <si>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</si>
  <si>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</si>
  <si>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</si>
  <si>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</si>
  <si>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</si>
  <si>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</si>
  <si>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</si>
  <si>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</si>
  <si>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</si>
  <si>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</si>
  <si>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</si>
  <si>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</si>
  <si>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</si>
  <si>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</si>
  <si>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</si>
  <si>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</si>
  <si>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</si>
  <si>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</si>
  <si>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</si>
  <si>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</si>
  <si>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</si>
  <si>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</si>
  <si>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</si>
  <si>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</si>
  <si>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</si>
  <si>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</si>
  <si>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</si>
  <si>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</si>
  <si>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</si>
  <si>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</si>
  <si>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</si>
  <si>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</si>
  <si>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</si>
  <si>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</si>
  <si>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</si>
  <si>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</si>
  <si>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</si>
  <si>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</si>
  <si>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</si>
  <si>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</si>
  <si>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</si>
  <si>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</si>
  <si>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</si>
  <si>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</si>
  <si>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</si>
  <si>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</si>
  <si>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</si>
  <si>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</si>
  <si>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</si>
  <si>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</si>
  <si>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</si>
  <si>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</si>
  <si>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</si>
  <si>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</si>
  <si>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</si>
  <si>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</si>
  <si>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</si>
  <si>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</si>
  <si>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</si>
  <si>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</si>
  <si>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</si>
  <si>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</si>
  <si>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</si>
  <si>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</si>
  <si>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</si>
  <si>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</si>
  <si>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</si>
  <si>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</si>
  <si>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</si>
  <si>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</si>
  <si>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</si>
  <si>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</si>
  <si>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</si>
  <si>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</si>
  <si>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</si>
  <si>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</si>
  <si>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</si>
  <si>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</si>
  <si>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</si>
  <si>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</si>
  <si>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</si>
  <si>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</si>
  <si>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</si>
  <si>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</si>
  <si>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</si>
  <si>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</si>
  <si>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</si>
  <si>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</si>
  <si>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</si>
  <si>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</si>
  <si>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</si>
  <si>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</si>
  <si>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</si>
  <si>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</si>
  <si>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</si>
  <si>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</si>
  <si>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</si>
  <si>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</si>
  <si>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</si>
  <si>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</si>
  <si>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</si>
  <si>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</si>
  <si>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</si>
  <si>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</si>
  <si>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</si>
  <si>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</si>
  <si>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</si>
  <si>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</si>
  <si>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</si>
  <si>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</si>
  <si>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</si>
  <si>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</si>
  <si>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</si>
  <si>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</si>
  <si>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</si>
  <si>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</si>
  <si>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</si>
  <si>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</si>
  <si>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</si>
  <si>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</si>
  <si>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</si>
  <si>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</si>
  <si>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</si>
  <si>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</si>
  <si>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</si>
  <si>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</si>
  <si>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</si>
  <si>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</si>
  <si>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</si>
  <si>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</si>
  <si>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</si>
  <si>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</si>
  <si>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</si>
  <si>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</si>
  <si>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</si>
  <si>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</si>
  <si>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</si>
  <si>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</si>
  <si>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</si>
  <si>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</si>
  <si>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</si>
  <si>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</si>
  <si>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</si>
  <si>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</si>
  <si>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</si>
  <si>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</si>
  <si>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</si>
  <si>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</si>
  <si>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</si>
  <si>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</si>
  <si>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</si>
  <si>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</si>
  <si>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</si>
  <si>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</si>
  <si>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</si>
  <si>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</si>
  <si>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</si>
  <si>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</si>
  <si>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</si>
  <si>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</si>
  <si>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</si>
  <si>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</si>
  <si>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</si>
  <si>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</si>
  <si>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</si>
  <si>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</si>
  <si>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</si>
  <si>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</si>
  <si>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</si>
  <si>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</si>
  <si>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</si>
  <si>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</si>
  <si>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</si>
  <si>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</si>
  <si>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</si>
  <si>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</si>
  <si>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</si>
  <si>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</si>
  <si>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</si>
  <si>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</si>
  <si>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</si>
  <si>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</si>
  <si>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</si>
  <si>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</si>
  <si>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</si>
  <si>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</si>
  <si>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</si>
  <si>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</si>
  <si>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</si>
  <si>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</si>
  <si>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</si>
  <si>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</si>
  <si>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</si>
  <si>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</si>
  <si>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</si>
  <si>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</si>
  <si>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</si>
  <si>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</si>
  <si>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</si>
  <si>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</si>
  <si>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</si>
  <si>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</si>
  <si>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</si>
  <si>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</si>
  <si>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</si>
  <si>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</si>
  <si>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</si>
  <si>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</si>
  <si>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</si>
  <si>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</si>
  <si>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</si>
  <si>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</si>
  <si>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</si>
  <si>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</si>
  <si>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</si>
  <si>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</si>
  <si>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</si>
  <si>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</si>
  <si>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</si>
  <si>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</si>
  <si>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</si>
  <si>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</si>
  <si>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</si>
  <si>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</si>
  <si>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</si>
  <si>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</si>
  <si>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</si>
  <si>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</si>
  <si>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</si>
  <si>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</si>
  <si>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</si>
  <si>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</si>
  <si>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</si>
  <si>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</si>
  <si>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</si>
  <si>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</si>
  <si>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</si>
  <si>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</si>
  <si>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</si>
  <si>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</si>
  <si>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</si>
  <si>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</si>
  <si>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</si>
  <si>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</si>
  <si>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</si>
  <si>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</si>
  <si>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</si>
  <si>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</si>
  <si>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</si>
  <si>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</si>
  <si>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</si>
  <si>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</si>
  <si>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</si>
  <si>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</si>
  <si>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</si>
  <si>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</si>
  <si>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</si>
  <si>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</si>
  <si>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</si>
  <si>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</si>
  <si>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</si>
  <si>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</si>
  <si>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</si>
  <si>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</si>
  <si>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</si>
  <si>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</si>
  <si>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</si>
  <si>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</si>
  <si>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</si>
  <si>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</si>
  <si>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</si>
  <si>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</si>
  <si>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</si>
  <si>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</si>
  <si>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</si>
  <si>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</si>
  <si>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</si>
  <si>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</si>
  <si>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</si>
  <si>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</si>
  <si>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</si>
  <si>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</si>
  <si>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</si>
  <si>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</si>
  <si>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</si>
  <si>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</si>
  <si>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</si>
  <si>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</si>
  <si>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</si>
  <si>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</si>
  <si>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</si>
  <si>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</si>
  <si>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</si>
  <si>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</si>
  <si>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</si>
  <si>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</si>
  <si>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</si>
  <si>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</si>
  <si>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</si>
  <si>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</si>
  <si>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</si>
  <si>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</si>
  <si>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</si>
  <si>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</si>
  <si>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</si>
  <si>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</si>
  <si>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</si>
  <si>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</si>
  <si>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</si>
  <si>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</si>
  <si>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</si>
  <si>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</si>
  <si>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</si>
  <si>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</si>
  <si>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</si>
  <si>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</si>
  <si>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</si>
  <si>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</si>
  <si>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</si>
  <si>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</si>
  <si>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</si>
  <si>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</si>
  <si>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</si>
  <si>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</si>
  <si>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</si>
  <si>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</si>
  <si>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</si>
  <si>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</si>
  <si>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</si>
  <si>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</si>
  <si>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</si>
  <si>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</si>
  <si>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</si>
  <si>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</si>
  <si>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</si>
  <si>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</si>
  <si>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</si>
  <si>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</si>
  <si>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</si>
  <si>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</si>
  <si>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</si>
  <si>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</si>
  <si>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</si>
  <si>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</si>
  <si>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</si>
  <si>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</si>
  <si>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</si>
  <si>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</si>
  <si>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</si>
  <si>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</si>
  <si>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</si>
  <si>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</si>
  <si>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</si>
  <si>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</si>
  <si>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</si>
  <si>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</si>
  <si>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</si>
  <si>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</si>
  <si>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</si>
  <si>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</si>
  <si>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</si>
  <si>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</si>
  <si>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</si>
  <si>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</si>
  <si>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</si>
  <si>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</si>
  <si>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</si>
  <si>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</si>
  <si>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</si>
  <si>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</si>
  <si>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</si>
  <si>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</si>
  <si>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</si>
  <si>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</si>
  <si>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</si>
  <si>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</si>
  <si>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</si>
  <si>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</si>
  <si>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</si>
  <si>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</si>
  <si>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</si>
  <si>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</si>
  <si>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</si>
  <si>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</si>
  <si>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</si>
  <si>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</si>
  <si>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</si>
  <si>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</si>
  <si>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</si>
  <si>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</si>
  <si>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</si>
  <si>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</si>
  <si>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</si>
  <si>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</si>
  <si>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</si>
  <si>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</si>
  <si>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</si>
  <si>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</si>
  <si>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</si>
  <si>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</si>
  <si>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</si>
  <si>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</si>
  <si>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</si>
  <si>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</si>
  <si>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</si>
  <si>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</si>
  <si>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</si>
  <si>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</si>
  <si>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</si>
  <si>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</si>
  <si>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</si>
  <si>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</si>
  <si>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</si>
  <si>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</si>
  <si>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</si>
  <si>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</si>
  <si>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</si>
  <si>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</si>
  <si>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</si>
  <si>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</si>
  <si>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</si>
  <si>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</si>
  <si>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</si>
  <si>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</si>
  <si>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</si>
  <si>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</si>
  <si>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</si>
  <si>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</si>
  <si>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</si>
  <si>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</si>
  <si>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</si>
  <si>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</si>
  <si>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</si>
  <si>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</si>
  <si>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</si>
  <si>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</si>
  <si>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</si>
  <si>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</si>
  <si>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</si>
  <si>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</si>
  <si>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</si>
  <si>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</si>
  <si>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</si>
  <si>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</si>
  <si>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</si>
  <si>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</si>
  <si>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</si>
  <si>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</si>
  <si>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</si>
  <si>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</si>
  <si>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</si>
  <si>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</si>
  <si>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</si>
  <si>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</si>
  <si>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</si>
  <si>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</si>
  <si>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</si>
  <si>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</si>
  <si>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</si>
  <si>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</si>
  <si>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</si>
  <si>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</si>
  <si>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</si>
  <si>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</si>
  <si>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</si>
  <si>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</si>
  <si>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</si>
  <si>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</si>
  <si>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</si>
  <si>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</si>
  <si>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</si>
  <si>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</si>
  <si>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</si>
  <si>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</si>
  <si>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</si>
  <si>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</si>
  <si>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</si>
  <si>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</si>
  <si>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</si>
  <si>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</si>
  <si>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</si>
  <si>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</si>
  <si>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</si>
  <si>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</si>
  <si>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</si>
  <si>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</si>
  <si>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</si>
  <si>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</si>
  <si>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</si>
  <si>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</si>
  <si>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</si>
  <si>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</si>
  <si>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</si>
  <si>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</si>
  <si>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</si>
  <si>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</si>
  <si>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</si>
  <si>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</si>
  <si>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</si>
  <si>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</si>
  <si>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</si>
  <si>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</si>
  <si>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</si>
  <si>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</si>
  <si>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</si>
  <si>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</si>
  <si>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</si>
  <si>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</si>
  <si>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</si>
  <si>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</si>
  <si>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</si>
  <si>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</si>
  <si>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</si>
  <si>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</si>
  <si>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</si>
  <si>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</si>
  <si>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</si>
  <si>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</si>
  <si>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</si>
  <si>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</si>
  <si>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</si>
  <si>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</si>
  <si>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</si>
  <si>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</si>
  <si>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</si>
  <si>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</si>
  <si>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</si>
  <si>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</si>
  <si>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</si>
  <si>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</si>
  <si>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</si>
  <si>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</si>
  <si>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</si>
  <si>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</si>
  <si>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</si>
  <si>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</si>
  <si>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</si>
  <si>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</si>
  <si>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</si>
  <si>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</si>
  <si>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</si>
  <si>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</si>
  <si>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</si>
  <si>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</si>
  <si>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</si>
  <si>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</si>
  <si>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</si>
  <si>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</si>
  <si>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</si>
  <si>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</si>
  <si>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</si>
  <si>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</si>
  <si>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</si>
  <si>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</si>
  <si>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</si>
  <si>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</si>
  <si>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</si>
  <si>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</si>
  <si>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</si>
  <si>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</si>
  <si>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</si>
  <si>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</si>
  <si>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</si>
  <si>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</si>
  <si>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</si>
  <si>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</si>
  <si>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</si>
  <si>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</si>
  <si>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</si>
  <si>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</si>
  <si>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</si>
  <si>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</si>
  <si>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</si>
  <si>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</si>
  <si>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</si>
  <si>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</si>
  <si>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</si>
  <si>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</si>
  <si>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</si>
  <si>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</si>
  <si>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</si>
  <si>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</si>
  <si>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</si>
  <si>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</si>
  <si>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</si>
  <si>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</si>
  <si>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</si>
  <si>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</si>
  <si>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</si>
  <si>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</si>
  <si>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</si>
  <si>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</si>
  <si>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</si>
  <si>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</si>
  <si>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</si>
  <si>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</si>
  <si>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</si>
  <si>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</si>
  <si>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</si>
  <si>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</si>
  <si>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</si>
  <si>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</si>
  <si>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</si>
  <si>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</si>
  <si>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</si>
  <si>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</si>
  <si>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</si>
  <si>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</si>
  <si>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</si>
  <si>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</si>
  <si>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</si>
  <si>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</si>
  <si>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</si>
  <si>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</si>
  <si>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</si>
  <si>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</si>
  <si>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</si>
  <si>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</si>
  <si>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</si>
  <si>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</si>
  <si>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</si>
  <si>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</si>
  <si>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</si>
  <si>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</si>
  <si>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</si>
  <si>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</si>
  <si>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</si>
  <si>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</si>
  <si>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</si>
  <si>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</si>
  <si>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</si>
  <si>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</si>
  <si>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</si>
  <si>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</si>
  <si>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</si>
  <si>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</si>
  <si>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</si>
  <si>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</si>
  <si>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</si>
  <si>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</si>
  <si>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</si>
  <si>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</si>
  <si>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</si>
  <si>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</si>
  <si>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</si>
  <si>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</si>
  <si>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</si>
  <si>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</si>
  <si>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</si>
  <si>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</si>
  <si>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</si>
  <si>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</si>
  <si>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</si>
  <si>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</si>
  <si>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</si>
  <si>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</si>
  <si>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</si>
  <si>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</si>
  <si>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</si>
  <si>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</si>
  <si>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</si>
  <si>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</si>
  <si>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</si>
  <si>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</si>
  <si>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</si>
  <si>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</si>
  <si>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</si>
  <si>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</si>
  <si>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</si>
  <si>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</si>
  <si>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</si>
  <si>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</si>
  <si>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</si>
  <si>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</si>
  <si>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</si>
  <si>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</si>
  <si>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</si>
  <si>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</si>
  <si>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</si>
  <si>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</si>
  <si>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</si>
  <si>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</si>
  <si>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</si>
  <si>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</si>
  <si>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</si>
  <si>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</si>
  <si>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</si>
  <si>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</si>
  <si>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</si>
  <si>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</si>
  <si>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</si>
  <si>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</si>
  <si>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</si>
  <si>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</si>
  <si>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</si>
  <si>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</si>
  <si>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</si>
  <si>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</si>
  <si>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</si>
  <si>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</si>
  <si>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</si>
  <si>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</si>
  <si>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</si>
  <si>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</si>
  <si>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</si>
  <si>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</si>
  <si>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</si>
  <si>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</si>
  <si>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</si>
  <si>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</si>
  <si>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</si>
  <si>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</si>
  <si>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</si>
  <si>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</si>
  <si>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</si>
  <si>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</si>
  <si>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</si>
  <si>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</si>
  <si>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</si>
  <si>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</si>
  <si>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</si>
  <si>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</si>
  <si>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</si>
  <si>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</si>
  <si>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</si>
  <si>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</si>
  <si>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</si>
  <si>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</si>
  <si>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</si>
  <si>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</si>
  <si>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</si>
  <si>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</si>
  <si>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</si>
  <si>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</si>
  <si>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</si>
  <si>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</si>
  <si>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</si>
  <si>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</si>
  <si>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</si>
  <si>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</si>
  <si>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</si>
  <si>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</si>
  <si>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</si>
  <si>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</si>
  <si>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</si>
  <si>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</si>
  <si>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</si>
  <si>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</si>
  <si>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</si>
  <si>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</si>
  <si>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</si>
  <si>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</si>
  <si>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</si>
  <si>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</si>
  <si>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</si>
  <si>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</si>
  <si>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</si>
  <si>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</si>
  <si>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</si>
  <si>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</si>
  <si>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</si>
  <si>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</si>
  <si>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</si>
  <si>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</si>
  <si>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</si>
  <si>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</si>
  <si>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</si>
  <si>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</si>
  <si>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</si>
  <si>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</si>
  <si>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</si>
  <si>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</si>
  <si>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</si>
  <si>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</si>
  <si>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</si>
  <si>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</si>
  <si>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</si>
  <si>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</si>
  <si>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</si>
  <si>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</si>
  <si>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</si>
  <si>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</si>
  <si>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</si>
  <si>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</si>
  <si>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</si>
  <si>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</si>
  <si>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</si>
  <si>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</si>
  <si>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</si>
  <si>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</si>
  <si>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</si>
  <si>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</si>
  <si>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</si>
  <si>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</si>
  <si>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</si>
  <si>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</si>
  <si>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</si>
  <si>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</si>
  <si>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</si>
  <si>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</si>
  <si>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</si>
  <si>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</si>
  <si>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</si>
  <si>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</si>
  <si>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</si>
  <si>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</si>
  <si>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</si>
  <si>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</si>
  <si>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</si>
  <si>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</si>
  <si>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</si>
  <si>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</si>
  <si>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</si>
  <si>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</si>
  <si>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</si>
  <si>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</si>
  <si>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</si>
  <si>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</si>
  <si>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</si>
  <si>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</si>
  <si>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</si>
  <si>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</si>
  <si>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</si>
  <si>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</si>
  <si>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</si>
  <si>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</si>
  <si>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</si>
  <si>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</si>
  <si>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</si>
  <si>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</si>
  <si>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</si>
  <si>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</si>
  <si>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</si>
  <si>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</si>
  <si>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</si>
  <si>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</si>
  <si>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</si>
  <si>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</si>
  <si>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</si>
  <si>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</si>
  <si>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</si>
  <si>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</si>
  <si>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</si>
  <si>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</si>
  <si>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</si>
  <si>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</si>
  <si>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</si>
  <si>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</si>
  <si>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</si>
  <si>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</si>
  <si>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</si>
  <si>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</si>
  <si>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</si>
  <si>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</si>
  <si>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</si>
  <si>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</si>
  <si>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</si>
  <si>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</si>
  <si>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</si>
  <si>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</si>
  <si>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</si>
  <si>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</si>
  <si>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</si>
  <si>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</si>
  <si>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</si>
  <si>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</si>
  <si>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</si>
  <si>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</si>
  <si>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</si>
  <si>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</si>
  <si>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</si>
  <si>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</si>
  <si>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</si>
  <si>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</si>
  <si>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</si>
  <si>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</si>
  <si>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</si>
  <si>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</si>
  <si>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</si>
  <si>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</si>
  <si>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</si>
  <si>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</si>
  <si>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</si>
  <si>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</si>
  <si>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</si>
  <si>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</si>
  <si>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</si>
  <si>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</si>
  <si>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</si>
  <si>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</si>
  <si>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</si>
  <si>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</si>
  <si>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</si>
  <si>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</si>
  <si>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</si>
  <si>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</si>
  <si>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</si>
  <si>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</si>
  <si>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</si>
  <si>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</si>
  <si>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</si>
  <si>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</si>
  <si>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</si>
  <si>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</si>
  <si>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</si>
  <si>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</si>
  <si>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</si>
  <si>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</si>
  <si>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</si>
  <si>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</si>
  <si>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</si>
  <si>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</si>
  <si>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</si>
  <si>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</si>
  <si>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</si>
  <si>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</si>
  <si>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</si>
  <si>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</si>
  <si>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</si>
  <si>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</si>
  <si>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</si>
  <si>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</si>
  <si>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</si>
  <si>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</si>
  <si>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</si>
  <si>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</si>
  <si>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</si>
  <si>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</si>
  <si>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</si>
  <si>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</si>
  <si>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</si>
  <si>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</si>
  <si>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</si>
  <si>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</si>
  <si>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</si>
  <si>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</si>
  <si>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</si>
  <si>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</si>
  <si>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</si>
  <si>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</si>
  <si>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</si>
  <si>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</si>
  <si>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</si>
  <si>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</si>
  <si>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</si>
  <si>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</si>
  <si>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</si>
  <si>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</si>
  <si>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</si>
  <si>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</si>
  <si>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</si>
  <si>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</si>
  <si>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</si>
  <si>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</si>
  <si>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</si>
  <si>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</si>
  <si>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</si>
  <si>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</si>
  <si>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</si>
  <si>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</si>
  <si>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</si>
  <si>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</si>
  <si>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</si>
  <si>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</si>
  <si>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</si>
  <si>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</si>
  <si>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</si>
  <si>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</si>
  <si>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</si>
  <si>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</si>
  <si>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</si>
  <si>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</si>
  <si>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</si>
  <si>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</si>
  <si>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</si>
  <si>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</si>
  <si>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</si>
  <si>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</si>
  <si>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</si>
  <si>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</si>
  <si>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</si>
  <si>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</si>
  <si>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</si>
  <si>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</si>
  <si>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</si>
  <si>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</si>
  <si>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</si>
  <si>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</si>
  <si>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</si>
  <si>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</si>
  <si>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</si>
  <si>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</si>
  <si>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</si>
  <si>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</si>
  <si>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</si>
  <si>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</si>
  <si>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</si>
  <si>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</si>
  <si>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</si>
  <si>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</si>
  <si>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</si>
  <si>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</si>
  <si>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</si>
  <si>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</si>
  <si>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</si>
  <si>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</si>
  <si>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</si>
  <si>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</si>
  <si>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</si>
  <si>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</si>
  <si>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</si>
  <si>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</si>
  <si>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</si>
  <si>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</si>
  <si>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</si>
  <si>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</si>
  <si>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</si>
  <si>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</si>
  <si>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</si>
  <si>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</si>
  <si>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</si>
  <si>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</si>
  <si>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</si>
  <si>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</si>
  <si>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</si>
  <si>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</si>
  <si>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</si>
  <si>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</si>
  <si>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</si>
  <si>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</si>
  <si>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</si>
  <si>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</si>
  <si>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</si>
  <si>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</si>
  <si>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</si>
  <si>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</si>
  <si>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</si>
  <si>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</si>
  <si>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</si>
  <si>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</si>
  <si>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</si>
  <si>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</si>
  <si>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</si>
  <si>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</si>
  <si>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</si>
  <si>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</si>
  <si>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</si>
  <si>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</si>
  <si>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</si>
  <si>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</si>
  <si>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</si>
  <si>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</si>
  <si>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</si>
  <si>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</si>
  <si>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</si>
  <si>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</si>
  <si>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</si>
  <si>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</si>
  <si>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</si>
  <si>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</si>
  <si>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</si>
  <si>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</si>
  <si>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</si>
  <si>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</si>
  <si>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</si>
  <si>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</si>
  <si>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</si>
  <si>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</si>
  <si>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</si>
  <si>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</si>
  <si>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</si>
  <si>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</si>
  <si>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</si>
  <si>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</si>
  <si>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</si>
  <si>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</si>
  <si>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</si>
  <si>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</si>
  <si>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</si>
  <si>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</si>
  <si>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</si>
  <si>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</si>
  <si>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</si>
  <si>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</si>
  <si>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</si>
  <si>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</si>
  <si>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</si>
  <si>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</si>
  <si>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</si>
  <si>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</si>
  <si>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</si>
  <si>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</si>
  <si>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</si>
  <si>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</si>
  <si>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</si>
  <si>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</si>
  <si>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</si>
  <si>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</si>
  <si>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</si>
  <si>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</si>
  <si>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</si>
  <si>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</si>
  <si>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</si>
  <si>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</si>
  <si>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</si>
  <si>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</si>
  <si>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</si>
  <si>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</si>
  <si>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</si>
  <si>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</si>
  <si>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</si>
  <si>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</si>
  <si>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</si>
  <si>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</si>
  <si>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</si>
  <si>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</si>
  <si>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</si>
  <si>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</si>
  <si>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</si>
  <si>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</si>
  <si>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</si>
  <si>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</si>
  <si>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</si>
  <si>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</si>
  <si>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</si>
  <si>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</si>
  <si>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</si>
  <si>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</si>
  <si>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</si>
  <si>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</si>
  <si>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</si>
  <si>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</si>
  <si>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</si>
  <si>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</si>
  <si>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</si>
  <si>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</si>
  <si>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</si>
  <si>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</si>
  <si>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</si>
  <si>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</si>
  <si>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</si>
  <si>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</si>
  <si>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</si>
  <si>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</si>
  <si>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</si>
  <si>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</si>
  <si>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</si>
  <si>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</si>
  <si>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</si>
  <si>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</si>
  <si>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</si>
  <si>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</si>
  <si>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</si>
  <si>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</si>
  <si>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</si>
  <si>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</si>
  <si>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</si>
  <si>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</si>
  <si>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</si>
  <si>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</si>
  <si>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</si>
  <si>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</si>
  <si>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</si>
  <si>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</si>
  <si>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</si>
  <si>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</si>
  <si>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</si>
  <si>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</si>
  <si>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</si>
  <si>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</si>
  <si>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</si>
  <si>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</si>
  <si>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</si>
  <si>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</si>
  <si>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</si>
  <si>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</si>
  <si>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</si>
  <si>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</si>
  <si>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</si>
  <si>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</si>
  <si>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</si>
  <si>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</si>
  <si>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</si>
  <si>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</si>
  <si>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</si>
  <si>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</si>
  <si>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</si>
  <si>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</si>
  <si>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</si>
  <si>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</si>
  <si>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</si>
  <si>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</si>
  <si>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</si>
  <si>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</si>
  <si>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</si>
  <si>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</si>
  <si>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</si>
  <si>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</si>
  <si>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</si>
  <si>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</si>
  <si>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</si>
  <si>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</si>
  <si>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</si>
  <si>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</si>
  <si>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</si>
  <si>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</si>
  <si>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</si>
  <si>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</si>
  <si>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</si>
  <si>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</si>
  <si>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</si>
  <si>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</si>
  <si>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</si>
  <si>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</si>
  <si>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</si>
  <si>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</si>
  <si>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</si>
  <si>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</si>
  <si>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</si>
  <si>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</si>
  <si>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</si>
  <si>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</si>
  <si>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</si>
  <si>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</si>
  <si>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</si>
  <si>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</si>
  <si>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</si>
  <si>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</si>
  <si>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</si>
  <si>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</si>
  <si>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</si>
  <si>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</si>
  <si>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</si>
  <si>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</si>
  <si>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</si>
  <si>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</si>
  <si>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</si>
  <si>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</si>
  <si>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</si>
  <si>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</si>
  <si>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</si>
  <si>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</si>
  <si>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</si>
  <si>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</si>
  <si>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</si>
  <si>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</si>
  <si>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</si>
  <si>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</si>
  <si>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</si>
  <si>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</si>
  <si>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</si>
  <si>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</si>
  <si>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</si>
  <si>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</si>
  <si>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</si>
  <si>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</si>
  <si>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</si>
  <si>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</si>
  <si>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</si>
  <si>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</si>
  <si>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</si>
  <si>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</si>
  <si>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</si>
  <si>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</si>
  <si>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</si>
  <si>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</si>
  <si>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</si>
  <si>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</si>
  <si>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</si>
  <si>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</si>
  <si>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</si>
  <si>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</si>
  <si>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</si>
  <si>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</si>
  <si>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</si>
  <si>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</si>
  <si>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</si>
  <si>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</si>
  <si>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</si>
  <si>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</si>
  <si>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</si>
  <si>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</si>
  <si>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</si>
  <si>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</si>
  <si>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</si>
  <si>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</si>
  <si>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</si>
  <si>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</si>
  <si>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</si>
  <si>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</si>
  <si>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</si>
  <si>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</si>
  <si>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</si>
  <si>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</si>
  <si>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</si>
  <si>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</si>
  <si>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</si>
  <si>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</si>
  <si>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</si>
  <si>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</si>
  <si>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</si>
  <si>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</si>
  <si>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</si>
  <si>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</si>
  <si>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</si>
  <si>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</si>
  <si>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</si>
  <si>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</si>
  <si>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</si>
  <si>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</si>
  <si>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</si>
  <si>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</si>
  <si>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</si>
  <si>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</si>
  <si>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</si>
  <si>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</si>
  <si>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</si>
  <si>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</si>
  <si>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</si>
  <si>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</si>
  <si>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</si>
  <si>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</si>
  <si>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</si>
  <si>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</si>
  <si>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</si>
  <si>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</si>
  <si>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</si>
  <si>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</si>
  <si>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</si>
  <si>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</si>
  <si>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</si>
  <si>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</si>
  <si>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</si>
  <si>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</si>
  <si>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</si>
  <si>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</si>
  <si>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</si>
  <si>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</si>
  <si>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</si>
  <si>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</si>
  <si>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</si>
  <si>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</si>
  <si>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</si>
  <si>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</si>
  <si>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</si>
  <si>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</si>
  <si>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</si>
  <si>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</si>
  <si>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</si>
  <si>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</si>
  <si>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</si>
  <si>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</si>
  <si>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</si>
  <si>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</si>
  <si>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</si>
  <si>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</si>
  <si>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</si>
  <si>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</si>
  <si>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</si>
  <si>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</si>
  <si>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</si>
  <si>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</si>
  <si>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</si>
  <si>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</si>
  <si>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</si>
  <si>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</si>
  <si>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</si>
  <si>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</si>
  <si>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</si>
  <si>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</si>
  <si>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</si>
  <si>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</si>
  <si>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</si>
  <si>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</si>
  <si>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</si>
  <si>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</si>
  <si>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</si>
  <si>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</si>
  <si>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</si>
  <si>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</si>
  <si>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</si>
  <si>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</si>
  <si>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</si>
  <si>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</si>
  <si>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</si>
  <si>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</si>
  <si>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</si>
  <si>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</si>
  <si>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</si>
  <si>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</si>
  <si>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</si>
  <si>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</si>
  <si>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</si>
  <si>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</si>
  <si>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</si>
  <si>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</si>
  <si>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</si>
  <si>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</si>
  <si>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</si>
  <si>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</si>
  <si>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</si>
  <si>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</si>
  <si>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</si>
  <si>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</si>
  <si>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</si>
  <si>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</si>
  <si>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</si>
  <si>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</si>
  <si>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</si>
  <si>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</si>
  <si>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</si>
  <si>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</si>
  <si>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</si>
  <si>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</si>
  <si>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</si>
  <si>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</si>
  <si>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</si>
  <si>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</si>
  <si>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</si>
  <si>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</si>
  <si>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</si>
  <si>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</si>
  <si>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</si>
  <si>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</si>
  <si>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</si>
  <si>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</si>
  <si>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</si>
  <si>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</si>
  <si>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</si>
  <si>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</si>
  <si>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</si>
  <si>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</si>
  <si>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</si>
  <si>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</si>
  <si>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</si>
  <si>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</si>
  <si>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</si>
  <si>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</si>
  <si>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</si>
  <si>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</si>
  <si>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</si>
  <si>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</si>
  <si>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</si>
  <si>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</si>
  <si>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</si>
  <si>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</si>
  <si>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</si>
  <si>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</si>
  <si>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</si>
  <si>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</si>
  <si>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</si>
  <si>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</si>
  <si>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</si>
  <si>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</si>
  <si>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</si>
  <si>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</si>
  <si>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</si>
  <si>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</si>
  <si>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</si>
  <si>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</si>
  <si>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</si>
  <si>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</si>
  <si>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</si>
  <si>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</si>
  <si>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</si>
  <si>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</si>
  <si>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</si>
  <si>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</si>
  <si>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</si>
  <si>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</si>
  <si>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</si>
  <si>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</si>
  <si>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</si>
  <si>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</si>
  <si>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</si>
  <si>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</si>
  <si>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</si>
  <si>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</si>
  <si>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</si>
  <si>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</si>
  <si>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</si>
  <si>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</si>
  <si>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</si>
  <si>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</si>
  <si>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</si>
  <si>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</si>
  <si>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</si>
  <si>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</si>
  <si>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</si>
  <si>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</si>
  <si>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</si>
  <si>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</si>
  <si>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</si>
  <si>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</si>
  <si>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</si>
  <si>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</si>
  <si>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</si>
  <si>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</si>
  <si>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</si>
  <si>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</si>
  <si>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</si>
  <si>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</si>
  <si>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</si>
  <si>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</si>
  <si>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</si>
  <si>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</si>
  <si>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</si>
  <si>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</si>
  <si>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</si>
  <si>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</si>
  <si>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</si>
  <si>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</si>
  <si>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</si>
  <si>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</si>
  <si>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</si>
  <si>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</si>
  <si>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</si>
  <si>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</si>
  <si>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</si>
  <si>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</si>
  <si>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</si>
  <si>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</si>
  <si>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</si>
  <si>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</si>
  <si>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</si>
  <si>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</si>
  <si>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</si>
  <si>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</si>
  <si>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</si>
  <si>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</si>
  <si>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</si>
  <si>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</si>
  <si>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</si>
  <si>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</si>
  <si>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</si>
  <si>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</si>
  <si>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</si>
  <si>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</si>
  <si>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</si>
  <si>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</si>
  <si>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</si>
  <si>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</si>
  <si>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</si>
  <si>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</si>
  <si>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</si>
  <si>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</si>
  <si>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</si>
  <si>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</si>
  <si>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</si>
  <si>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</si>
  <si>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</si>
  <si>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</si>
  <si>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</si>
  <si>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</si>
  <si>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</si>
  <si>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</si>
  <si>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</si>
  <si>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</si>
  <si>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</si>
  <si>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</si>
  <si>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</si>
  <si>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</si>
  <si>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</si>
  <si>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</si>
  <si>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</si>
  <si>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</si>
  <si>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</si>
  <si>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</si>
  <si>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</si>
  <si>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</si>
  <si>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</si>
  <si>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</si>
  <si>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</si>
  <si>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</si>
  <si>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</si>
  <si>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</si>
  <si>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</si>
  <si>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</si>
  <si>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</si>
  <si>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</si>
  <si>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</si>
  <si>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</si>
  <si>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</si>
  <si>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</si>
  <si>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</si>
  <si>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</si>
  <si>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</si>
  <si>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</si>
  <si>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</si>
  <si>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</si>
  <si>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</si>
  <si>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</si>
  <si>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</si>
  <si>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</si>
  <si>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</si>
  <si>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</si>
  <si>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</si>
  <si>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</si>
  <si>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</si>
  <si>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</si>
  <si>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</si>
  <si>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</si>
  <si>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</si>
  <si>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</si>
  <si>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</si>
  <si>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</si>
  <si>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</si>
  <si>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</si>
  <si>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</si>
  <si>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</si>
  <si>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</si>
  <si>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</si>
  <si>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</si>
  <si>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</si>
  <si>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</si>
  <si>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</si>
  <si>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</si>
  <si>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</si>
  <si>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</si>
  <si>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</si>
  <si>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</si>
  <si>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</si>
  <si>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</si>
  <si>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</si>
  <si>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</si>
  <si>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</si>
  <si>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</si>
  <si>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</si>
  <si>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</si>
  <si>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</si>
  <si>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</si>
  <si>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</si>
  <si>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</si>
  <si>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</si>
  <si>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</si>
  <si>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</si>
  <si>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</si>
  <si>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</si>
  <si>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</si>
  <si>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</si>
  <si>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</si>
  <si>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</si>
  <si>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</si>
  <si>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</si>
  <si>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</si>
  <si>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</si>
  <si>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</si>
  <si>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</si>
  <si>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</si>
  <si>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</si>
  <si>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</si>
  <si>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</si>
  <si>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</si>
  <si>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</si>
  <si>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</si>
  <si>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</si>
  <si>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</si>
  <si>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</si>
  <si>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</si>
  <si>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</si>
  <si>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</si>
  <si>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</si>
  <si>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</si>
  <si>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</si>
  <si>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</si>
  <si>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</si>
  <si>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</si>
  <si>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</si>
  <si>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</si>
  <si>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</si>
  <si>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</si>
  <si>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</si>
  <si>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</si>
  <si>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</si>
  <si>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</si>
  <si>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</si>
  <si>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</si>
  <si>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</si>
  <si>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</si>
  <si>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</si>
  <si>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</si>
  <si>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</si>
  <si>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</si>
  <si>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</si>
  <si>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</si>
  <si>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</si>
  <si>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</si>
  <si>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</si>
  <si>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</si>
  <si>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</si>
  <si>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</si>
  <si>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</si>
  <si>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</si>
  <si>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</si>
  <si>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</si>
  <si>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</si>
  <si>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</si>
  <si>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</si>
  <si>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</si>
  <si>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</si>
  <si>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</si>
  <si>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</si>
  <si>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</si>
  <si>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</si>
  <si>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</si>
  <si>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</si>
  <si>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</si>
  <si>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</si>
  <si>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</si>
  <si>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</si>
  <si>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</si>
  <si>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</si>
  <si>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</si>
  <si>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</si>
  <si>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</si>
  <si>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</si>
  <si>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</si>
  <si>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</si>
  <si>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</si>
  <si>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</si>
  <si>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</si>
  <si>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</si>
  <si>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</si>
  <si>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</si>
  <si>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</si>
  <si>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</si>
  <si>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</si>
  <si>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</si>
  <si>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</si>
  <si>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</si>
  <si>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</si>
  <si>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</si>
  <si>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</si>
  <si>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</si>
  <si>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</si>
  <si>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</si>
  <si>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</si>
  <si>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</si>
  <si>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</si>
  <si>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</si>
  <si>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</si>
  <si>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</si>
  <si>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</si>
  <si>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</si>
  <si>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</si>
  <si>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</si>
  <si>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</si>
  <si>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</si>
  <si>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</si>
  <si>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</si>
  <si>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</si>
  <si>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</si>
  <si>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</si>
  <si>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</si>
  <si>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</si>
  <si>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</si>
  <si>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</si>
  <si>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</si>
  <si>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</si>
  <si>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</si>
  <si>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</si>
  <si>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</si>
  <si>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</si>
  <si>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</si>
  <si>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</si>
  <si>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</si>
  <si>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</si>
  <si>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</si>
  <si>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</si>
  <si>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</si>
  <si>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</si>
  <si>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</si>
  <si>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</si>
  <si>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</si>
  <si>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</si>
  <si>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</si>
  <si>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</si>
  <si>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</si>
  <si>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</si>
  <si>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</si>
  <si>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</si>
  <si>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</si>
  <si>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</si>
  <si>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</si>
  <si>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</si>
  <si>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</si>
  <si>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</si>
  <si>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</si>
  <si>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</si>
  <si>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</si>
  <si>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</si>
  <si>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</si>
  <si>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</si>
  <si>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</si>
  <si>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</si>
  <si>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</si>
  <si>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</si>
  <si>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</si>
  <si>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</si>
  <si>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</si>
  <si>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</si>
  <si>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</si>
  <si>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</si>
  <si>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</si>
  <si>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</si>
  <si>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</si>
  <si>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</si>
  <si>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</si>
  <si>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</si>
  <si>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</si>
  <si>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</si>
  <si>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</si>
  <si>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</si>
  <si>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</si>
  <si>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</si>
  <si>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</si>
  <si>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</si>
  <si>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</si>
  <si>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</si>
  <si>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</si>
  <si>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</si>
  <si>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</si>
  <si>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</si>
  <si>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</si>
  <si>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</si>
  <si>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</si>
  <si>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</si>
  <si>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</si>
  <si>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</si>
  <si>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</si>
  <si>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</si>
  <si>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</si>
  <si>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</si>
  <si>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</si>
  <si>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</si>
  <si>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</si>
  <si>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</si>
  <si>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</si>
  <si>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</si>
  <si>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</si>
  <si>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</si>
  <si>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</si>
  <si>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</si>
  <si>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</si>
  <si>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</si>
  <si>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</si>
  <si>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</si>
  <si>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</si>
  <si>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</si>
  <si>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</si>
  <si>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</si>
  <si>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</si>
  <si>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</si>
  <si>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</si>
  <si>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</si>
  <si>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</si>
  <si>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</si>
  <si>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</si>
  <si>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</si>
  <si>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</si>
  <si>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</si>
  <si>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</si>
  <si>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</si>
  <si>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</si>
  <si>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</si>
  <si>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</si>
  <si>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</si>
  <si>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</si>
  <si>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</si>
  <si>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</si>
  <si>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</si>
  <si>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</si>
  <si>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</si>
  <si>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</si>
  <si>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</si>
  <si>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</si>
  <si>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</si>
  <si>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</si>
  <si>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</si>
  <si>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</si>
  <si>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</si>
  <si>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</si>
  <si>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</si>
  <si>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</si>
  <si>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</si>
  <si>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</si>
  <si>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</si>
  <si>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</si>
  <si>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</si>
  <si>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</si>
  <si>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</si>
  <si>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</si>
  <si>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</si>
  <si>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</si>
  <si>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</si>
  <si>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</si>
  <si>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</si>
  <si>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</si>
  <si>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</si>
  <si>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</si>
  <si>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</si>
  <si>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</si>
  <si>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</si>
  <si>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</si>
  <si>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</si>
  <si>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</si>
  <si>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</si>
  <si>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</si>
  <si>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</si>
  <si>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</si>
  <si>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</si>
  <si>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</si>
  <si>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</si>
  <si>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</si>
  <si>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</si>
  <si>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</si>
  <si>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</si>
  <si>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</si>
  <si>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</si>
  <si>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</si>
  <si>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</si>
  <si>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</si>
  <si>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</si>
  <si>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</si>
  <si>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</si>
  <si>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</si>
  <si>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</si>
  <si>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</si>
  <si>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</si>
  <si>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</si>
  <si>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</si>
  <si>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</si>
  <si>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</si>
  <si>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</si>
  <si>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</si>
  <si>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</si>
  <si>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</si>
  <si>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</si>
  <si>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</si>
  <si>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</si>
  <si>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</si>
  <si>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</si>
  <si>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</si>
  <si>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</si>
  <si>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</si>
  <si>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</si>
  <si>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</si>
  <si>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</si>
  <si>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</si>
  <si>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</si>
  <si>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</si>
  <si>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</si>
  <si>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</si>
  <si>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</si>
  <si>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</si>
  <si>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</si>
  <si>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</si>
  <si>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</si>
  <si>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</si>
  <si>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</si>
  <si>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</si>
  <si>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</si>
  <si>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</si>
  <si>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</si>
  <si>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</si>
  <si>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</si>
  <si>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</si>
  <si>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</si>
  <si>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</si>
  <si>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</si>
  <si>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</si>
  <si>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</si>
  <si>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</si>
  <si>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</si>
  <si>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</si>
  <si>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</si>
  <si>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</si>
  <si>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</si>
  <si>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</si>
  <si>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</si>
  <si>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</si>
  <si>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</si>
  <si>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</si>
  <si>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</si>
  <si>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</si>
  <si>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</si>
  <si>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</si>
  <si>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</si>
  <si>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</si>
  <si>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</si>
  <si>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</si>
  <si>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</si>
  <si>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</si>
  <si>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</si>
  <si>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</si>
  <si>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</si>
  <si>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</si>
  <si>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</si>
  <si>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</si>
  <si>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</si>
  <si>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</si>
  <si>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</si>
  <si>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</si>
  <si>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</si>
  <si>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</si>
  <si>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</si>
  <si>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</si>
  <si>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</si>
  <si>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</si>
  <si>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</si>
  <si>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</si>
  <si>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</si>
  <si>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</si>
  <si>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</si>
  <si>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</si>
  <si>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</si>
  <si>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</si>
  <si>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</si>
  <si>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</si>
  <si>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</si>
  <si>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</si>
  <si>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</si>
  <si>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</si>
  <si>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</si>
  <si>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</si>
  <si>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</si>
  <si>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</si>
  <si>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</si>
  <si>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</si>
  <si>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</si>
  <si>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</si>
  <si>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</si>
  <si>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</si>
  <si>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</si>
  <si>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</si>
  <si>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</si>
  <si>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</si>
  <si>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</si>
  <si>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</si>
  <si>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</si>
  <si>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</si>
  <si>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</si>
  <si>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</si>
  <si>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</si>
  <si>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</si>
  <si>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</si>
  <si>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</si>
  <si>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</si>
  <si>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</si>
  <si>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</si>
  <si>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</si>
  <si>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</si>
  <si>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</si>
  <si>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</si>
  <si>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</si>
  <si>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</si>
  <si>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</si>
  <si>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</si>
  <si>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</si>
  <si>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</si>
  <si>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</si>
  <si>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</si>
  <si>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</si>
  <si>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</si>
  <si>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</si>
  <si>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</si>
  <si>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</si>
  <si>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</si>
  <si>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</si>
  <si>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</si>
  <si>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</si>
  <si>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</si>
  <si>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</si>
  <si>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</si>
  <si>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</si>
  <si>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</si>
  <si>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</si>
  <si>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</si>
  <si>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</si>
  <si>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</si>
  <si>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</si>
  <si>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</si>
  <si>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</si>
  <si>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</si>
  <si>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</si>
  <si>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</si>
  <si>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</si>
  <si>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</si>
  <si>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</si>
  <si>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</si>
  <si>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</si>
  <si>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</si>
  <si>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</si>
  <si>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</si>
  <si>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</si>
  <si>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</si>
  <si>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</si>
  <si>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</si>
  <si>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</si>
  <si>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</si>
  <si>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</si>
  <si>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</si>
  <si>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</si>
  <si>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</si>
  <si>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</si>
  <si>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</si>
  <si>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</si>
  <si>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</si>
  <si>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</si>
  <si>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</si>
  <si>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</si>
  <si>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</si>
  <si>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</si>
  <si>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</si>
  <si>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</si>
  <si>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</si>
  <si>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</si>
  <si>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</si>
  <si>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</si>
  <si>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</si>
  <si>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</si>
  <si>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</si>
  <si>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</si>
  <si>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</si>
  <si>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</si>
  <si>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</si>
  <si>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</si>
  <si>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</si>
  <si>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</si>
  <si>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</si>
  <si>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</si>
  <si>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</si>
  <si>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</si>
  <si>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</si>
  <si>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</si>
  <si>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</si>
  <si>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</si>
  <si>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</si>
  <si>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</si>
  <si>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</si>
  <si>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</si>
  <si>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</si>
  <si>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</si>
  <si>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</si>
  <si>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</si>
  <si>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</si>
  <si>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</si>
  <si>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</si>
  <si>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</si>
  <si>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</si>
  <si>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</si>
  <si>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</si>
  <si>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</si>
  <si>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</si>
  <si>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</si>
  <si>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</si>
  <si>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</si>
  <si>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</si>
  <si>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</si>
  <si>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</si>
  <si>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</si>
  <si>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</si>
  <si>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</si>
  <si>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</si>
  <si>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</si>
  <si>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</si>
  <si>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</si>
  <si>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</si>
  <si>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</si>
  <si>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</si>
  <si>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</si>
  <si>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</si>
  <si>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</si>
  <si>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</si>
  <si>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</si>
  <si>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</si>
  <si>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</si>
  <si>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</si>
  <si>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</si>
  <si>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</si>
  <si>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</si>
  <si>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</si>
  <si>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</si>
  <si>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</si>
  <si>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</si>
  <si>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</si>
  <si>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</si>
  <si>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</si>
  <si>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</si>
  <si>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</si>
  <si>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</si>
  <si>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</si>
  <si>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</si>
  <si>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</si>
  <si>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</si>
  <si>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</si>
  <si>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</si>
  <si>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</si>
  <si>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</si>
  <si>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</si>
  <si>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</si>
  <si>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</si>
  <si>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</si>
  <si>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</si>
  <si>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</si>
  <si>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</si>
  <si>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</si>
  <si>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</si>
  <si>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</si>
  <si>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</si>
  <si>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</si>
  <si>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</si>
  <si>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</si>
  <si>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</si>
  <si>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</si>
  <si>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</si>
  <si>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</si>
  <si>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</si>
  <si>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</si>
  <si>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</si>
  <si>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</si>
  <si>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</si>
  <si>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</si>
  <si>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</si>
  <si>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</si>
  <si>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</si>
  <si>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</si>
  <si>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</si>
  <si>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</si>
  <si>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</si>
  <si>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</si>
  <si>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</si>
  <si>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</si>
  <si>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</si>
  <si>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</si>
  <si>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</si>
  <si>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</si>
  <si>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</si>
  <si>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</si>
  <si>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</si>
  <si>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</si>
  <si>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</si>
  <si>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</si>
  <si>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</si>
  <si>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</si>
  <si>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</si>
  <si>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</si>
  <si>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</si>
  <si>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</si>
  <si>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</si>
  <si>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</si>
  <si>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</si>
  <si>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</si>
  <si>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</si>
  <si>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</si>
  <si>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</si>
  <si>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</si>
  <si>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</si>
  <si>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</si>
  <si>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</si>
  <si>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</si>
  <si>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</si>
  <si>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</si>
  <si>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</si>
  <si>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</si>
  <si>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</si>
  <si>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</si>
  <si>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</si>
  <si>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</si>
  <si>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</si>
  <si>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</si>
  <si>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</si>
  <si>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</si>
  <si>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</si>
  <si>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</si>
  <si>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</si>
  <si>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</si>
  <si>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</si>
  <si>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</si>
  <si>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</si>
  <si>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</si>
  <si>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</si>
  <si>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</si>
  <si>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</si>
  <si>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</si>
  <si>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</si>
  <si>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</si>
  <si>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</si>
  <si>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</si>
  <si>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</si>
  <si>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</si>
  <si>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</si>
  <si>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</si>
  <si>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</si>
  <si>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</si>
  <si>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</si>
  <si>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</si>
  <si>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</si>
  <si>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</si>
  <si>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</si>
  <si>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</si>
  <si>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</si>
  <si>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</si>
  <si>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</si>
  <si>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</si>
  <si>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</si>
  <si>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</si>
  <si>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</si>
  <si>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</si>
  <si>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</si>
  <si>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</si>
  <si>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</si>
  <si>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</si>
  <si>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</si>
  <si>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</si>
  <si>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</si>
  <si>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</si>
  <si>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</si>
  <si>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</si>
  <si>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</si>
  <si>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</si>
  <si>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</si>
  <si>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</si>
  <si>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</si>
  <si>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</si>
  <si>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</si>
  <si>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</si>
  <si>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</si>
  <si>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</si>
  <si>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</si>
  <si>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</si>
  <si>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</si>
  <si>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</si>
  <si>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</si>
  <si>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</si>
  <si>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</si>
  <si>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</si>
  <si>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</si>
  <si>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</si>
  <si>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</si>
  <si>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</si>
  <si>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</si>
  <si>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</si>
  <si>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</si>
  <si>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</si>
  <si>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</si>
  <si>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</si>
  <si>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</si>
  <si>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</si>
  <si>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</si>
  <si>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</si>
  <si>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</si>
  <si>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</si>
  <si>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</si>
  <si>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</si>
  <si>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</si>
  <si>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</si>
  <si>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</si>
  <si>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</si>
  <si>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</si>
  <si>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</si>
  <si>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</si>
  <si>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</si>
  <si>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</si>
  <si>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</si>
  <si>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</si>
  <si>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</si>
  <si>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</si>
  <si>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</si>
  <si>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</si>
  <si>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</si>
  <si>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</si>
  <si>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</si>
  <si>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</si>
  <si>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</si>
  <si>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</si>
  <si>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</si>
  <si>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</si>
  <si>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</si>
  <si>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</si>
  <si>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</si>
  <si>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</si>
  <si>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</si>
  <si>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</si>
  <si>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</si>
  <si>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</si>
  <si>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</si>
  <si>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</si>
  <si>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</si>
  <si>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</si>
  <si>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</si>
  <si>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</si>
  <si>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</si>
  <si>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</si>
  <si>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</si>
  <si>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</si>
  <si>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</si>
  <si>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</si>
  <si>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</si>
  <si>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</si>
  <si>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</si>
  <si>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</si>
  <si>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</si>
  <si>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</si>
  <si>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</si>
  <si>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</si>
  <si>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</si>
  <si>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</si>
  <si>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</si>
  <si>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</si>
  <si>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</si>
  <si>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</si>
  <si>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</si>
  <si>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</si>
  <si>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</si>
  <si>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</si>
  <si>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</si>
  <si>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</si>
  <si>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</si>
  <si>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</si>
  <si>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</si>
  <si>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</si>
  <si>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</si>
  <si>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</si>
  <si>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</si>
  <si>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</si>
  <si>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</si>
  <si>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</si>
  <si>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</si>
  <si>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</si>
  <si>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</si>
  <si>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</si>
  <si>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</si>
  <si>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</si>
  <si>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</si>
  <si>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</si>
  <si>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</si>
  <si>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</si>
  <si>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</si>
  <si>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</si>
  <si>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</si>
  <si>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</si>
  <si>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</si>
  <si>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</si>
  <si>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</si>
  <si>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</si>
  <si>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</si>
  <si>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</si>
  <si>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</si>
  <si>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</si>
  <si>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</si>
  <si>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</si>
  <si>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</si>
  <si>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</si>
  <si>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</si>
  <si>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</si>
  <si>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</si>
  <si>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</si>
  <si>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</si>
  <si>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</si>
  <si>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</si>
  <si>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</si>
  <si>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</si>
  <si>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</si>
  <si>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</si>
  <si>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</si>
  <si>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</si>
  <si>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</si>
  <si>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</si>
  <si>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</si>
  <si>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</si>
  <si>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</si>
  <si>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</si>
  <si>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</si>
  <si>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</si>
  <si>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</si>
  <si>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</si>
  <si>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</si>
  <si>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</si>
  <si>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</si>
  <si>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</si>
  <si>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</si>
  <si>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</si>
  <si>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</si>
  <si>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</si>
  <si>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</si>
  <si>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</si>
  <si>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</si>
  <si>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</si>
  <si>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</si>
  <si>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</si>
  <si>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</si>
  <si>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</si>
  <si>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</si>
  <si>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</si>
  <si>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</si>
  <si>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</si>
  <si>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</si>
  <si>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</si>
  <si>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</si>
  <si>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</si>
  <si>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</si>
  <si>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</si>
  <si>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</si>
  <si>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</si>
  <si>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</si>
  <si>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</si>
  <si>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</si>
  <si>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</si>
  <si>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</si>
  <si>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</si>
  <si>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</si>
  <si>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</si>
  <si>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</si>
  <si>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</si>
  <si>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</si>
  <si>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</si>
  <si>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</si>
  <si>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</si>
  <si>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</si>
  <si>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</si>
  <si>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</si>
  <si>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</si>
  <si>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</si>
  <si>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</si>
  <si>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</si>
  <si>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</si>
  <si>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</si>
  <si>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</si>
  <si>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</si>
  <si>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</si>
  <si>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</si>
  <si>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</si>
  <si>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</si>
  <si>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</si>
  <si>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</si>
  <si>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</si>
  <si>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</si>
  <si>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</si>
  <si>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</si>
  <si>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</si>
  <si>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</si>
  <si>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</si>
  <si>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</si>
  <si>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</si>
  <si>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</si>
  <si>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</si>
  <si>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</si>
  <si>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</si>
  <si>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</si>
  <si>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</si>
  <si>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</si>
  <si>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</si>
  <si>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</si>
  <si>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</si>
  <si>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</si>
  <si>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</si>
  <si>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</si>
  <si>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</si>
  <si>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</si>
  <si>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</si>
  <si>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</si>
  <si>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</si>
  <si>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</si>
  <si>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</si>
  <si>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</si>
  <si>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</si>
  <si>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</si>
  <si>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</si>
  <si>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</si>
  <si>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</si>
  <si>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</si>
  <si>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</si>
  <si>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</si>
  <si>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</si>
  <si>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</si>
  <si>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</si>
  <si>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</si>
  <si>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</si>
  <si>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</si>
  <si>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</si>
  <si>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</si>
  <si>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</si>
  <si>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</si>
  <si>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</si>
  <si>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</si>
  <si>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</si>
  <si>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</si>
  <si>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</si>
  <si>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</si>
  <si>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</si>
  <si>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</si>
  <si>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</si>
  <si>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</si>
  <si>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</si>
  <si>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</si>
  <si>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</si>
  <si>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</si>
  <si>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</si>
  <si>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</si>
  <si>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</si>
  <si>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</si>
  <si>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</si>
  <si>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</si>
  <si>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</si>
  <si>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</si>
  <si>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</si>
  <si>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</si>
  <si>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</si>
  <si>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</si>
  <si>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</si>
  <si>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</si>
  <si>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</si>
  <si>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</si>
  <si>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</si>
  <si>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</si>
  <si>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</si>
  <si>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</si>
  <si>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</si>
  <si>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</si>
  <si>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</si>
  <si>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</si>
  <si>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</si>
  <si>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</si>
  <si>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</si>
  <si>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</si>
  <si>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</si>
  <si>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</si>
  <si>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</si>
  <si>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</si>
  <si>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</si>
  <si>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</si>
  <si>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</si>
  <si>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</si>
  <si>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</si>
  <si>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</si>
  <si>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</si>
  <si>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</si>
  <si>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</si>
  <si>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</si>
  <si>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</si>
  <si>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</si>
  <si>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</si>
  <si>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</si>
  <si>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</si>
  <si>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</si>
  <si>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</si>
  <si>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</si>
  <si>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</si>
  <si>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</si>
  <si>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</si>
  <si>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</si>
  <si>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</si>
  <si>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</si>
  <si>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</si>
  <si>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</si>
  <si>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</si>
  <si>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</si>
  <si>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</si>
  <si>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</si>
  <si>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</si>
  <si>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</si>
  <si>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</si>
  <si>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</si>
  <si>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</si>
  <si>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</si>
  <si>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</si>
  <si>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</si>
  <si>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</si>
  <si>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</si>
  <si>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</si>
  <si>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</si>
  <si>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</si>
  <si>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</si>
  <si>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</si>
  <si>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</si>
  <si>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</si>
  <si>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</si>
  <si>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</si>
  <si>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</si>
  <si>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</si>
  <si>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</si>
  <si>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</si>
  <si>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</si>
  <si>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</si>
  <si>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</si>
  <si>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</si>
  <si>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</si>
  <si>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</si>
  <si>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</si>
  <si>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</si>
  <si>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</si>
  <si>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</si>
  <si>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</si>
  <si>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</si>
  <si>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</si>
  <si>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</si>
  <si>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</si>
  <si>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</si>
  <si>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</si>
  <si>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</si>
  <si>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</si>
  <si>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</si>
  <si>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</si>
  <si>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</si>
  <si>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</si>
  <si>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</si>
  <si>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</si>
  <si>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</si>
  <si>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</si>
  <si>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</si>
  <si>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</si>
  <si>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</si>
  <si>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</si>
  <si>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</si>
  <si>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</si>
  <si>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</si>
  <si>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</si>
  <si>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</si>
  <si>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</si>
  <si>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</si>
  <si>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</si>
  <si>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</si>
  <si>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</si>
  <si>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</si>
  <si>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</si>
  <si>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</si>
  <si>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</si>
  <si>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</si>
  <si>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</si>
  <si>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</si>
  <si>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</si>
  <si>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</si>
  <si>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</si>
  <si>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</si>
  <si>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</si>
  <si>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</si>
  <si>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</si>
  <si>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</si>
  <si>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</si>
  <si>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</si>
  <si>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</si>
  <si>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</si>
  <si>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</si>
  <si>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</si>
  <si>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</si>
  <si>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</si>
  <si>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</si>
  <si>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</si>
  <si>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</si>
  <si>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</si>
  <si>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</si>
  <si>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</si>
  <si>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</si>
  <si>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</si>
  <si>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</si>
  <si>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</si>
  <si>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</si>
  <si>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</si>
  <si>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</si>
  <si>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</si>
  <si>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</si>
  <si>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</si>
  <si>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</si>
  <si>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</si>
  <si>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</si>
  <si>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</si>
  <si>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</si>
  <si>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</si>
  <si>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</si>
  <si>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</si>
  <si>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</si>
  <si>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</si>
  <si>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</si>
  <si>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</si>
  <si>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</si>
  <si>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</si>
  <si>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</si>
  <si>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</si>
  <si>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</si>
  <si>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</si>
  <si>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</si>
  <si>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</si>
  <si>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</si>
  <si>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</si>
  <si>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</si>
  <si>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</si>
  <si>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</si>
  <si>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</si>
  <si>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</si>
  <si>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</si>
  <si>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</si>
  <si>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</si>
  <si>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</si>
  <si>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</si>
  <si>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</si>
  <si>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</si>
  <si>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</si>
  <si>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</si>
  <si>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</si>
  <si>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</si>
  <si>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</si>
  <si>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</si>
  <si>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</si>
  <si>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</si>
  <si>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</si>
  <si>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</si>
  <si>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</si>
  <si>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</si>
  <si>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</si>
  <si>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</si>
  <si>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</si>
  <si>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</si>
  <si>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</si>
  <si>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</si>
  <si>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</si>
  <si>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</si>
  <si>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</si>
  <si>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</si>
  <si>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</si>
  <si>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</si>
  <si>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</si>
  <si>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</si>
  <si>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</si>
  <si>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</si>
  <si>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</si>
  <si>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</si>
  <si>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</si>
  <si>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</si>
  <si>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</si>
  <si>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</si>
  <si>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</si>
  <si>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</si>
  <si>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</si>
  <si>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</si>
  <si>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</si>
  <si>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</si>
  <si>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</si>
  <si>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</si>
  <si>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</si>
  <si>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</si>
  <si>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</si>
  <si>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</si>
  <si>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</si>
  <si>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</si>
  <si>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</si>
  <si>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</si>
  <si>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</si>
  <si>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</si>
  <si>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</si>
  <si>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</si>
  <si>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</si>
  <si>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</si>
  <si>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</si>
  <si>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</si>
  <si>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</si>
  <si>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</si>
  <si>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</si>
  <si>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</si>
  <si>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</si>
  <si>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</si>
  <si>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</si>
  <si>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</si>
  <si>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</si>
  <si>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</si>
  <si>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</si>
  <si>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</si>
  <si>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</si>
  <si>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</si>
  <si>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</si>
  <si>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</si>
  <si>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</si>
  <si>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</si>
  <si>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</si>
  <si>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</si>
  <si>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</si>
  <si>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</si>
  <si>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</si>
  <si>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</si>
  <si>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</si>
  <si>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</si>
  <si>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</si>
  <si>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</si>
  <si>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</si>
  <si>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</si>
  <si>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</si>
  <si>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</si>
  <si>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</si>
  <si>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</si>
  <si>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</si>
  <si>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</si>
  <si>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</si>
  <si>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</si>
  <si>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</si>
  <si>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</si>
  <si>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</si>
  <si>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</si>
  <si>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</si>
  <si>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</si>
  <si>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</si>
  <si>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</si>
  <si>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</si>
  <si>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</si>
  <si>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</si>
  <si>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</si>
  <si>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</si>
  <si>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</si>
  <si>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</si>
  <si>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</si>
  <si>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</si>
  <si>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</si>
  <si>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</si>
  <si>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</si>
  <si>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</si>
  <si>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</si>
  <si>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</si>
  <si>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</si>
  <si>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</si>
  <si>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</si>
  <si>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</si>
  <si>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</si>
  <si>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</si>
  <si>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</si>
  <si>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</si>
  <si>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</si>
  <si>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</si>
  <si>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</si>
  <si>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</si>
  <si>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</si>
  <si>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</si>
  <si>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</si>
  <si>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</si>
  <si>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</si>
  <si>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</si>
  <si>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</si>
  <si>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</si>
  <si>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</si>
  <si>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</si>
  <si>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</si>
  <si>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</si>
  <si>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</si>
  <si>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</si>
  <si>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</si>
  <si>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</si>
  <si>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</si>
  <si>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</si>
  <si>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</si>
  <si>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</si>
  <si>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</si>
  <si>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</si>
  <si>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</si>
  <si>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</si>
  <si>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</si>
  <si>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</si>
  <si>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</si>
  <si>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</si>
  <si>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</si>
  <si>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</si>
  <si>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</si>
  <si>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</si>
  <si>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</si>
  <si>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</si>
  <si>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</si>
  <si>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</si>
  <si>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</si>
  <si>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</si>
  <si>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</si>
  <si>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</si>
  <si>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</si>
  <si>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</si>
  <si>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</si>
  <si>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</si>
  <si>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</si>
  <si>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</si>
  <si>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</si>
  <si>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</si>
  <si>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</si>
  <si>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</si>
  <si>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</si>
  <si>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</si>
  <si>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</si>
  <si>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</si>
  <si>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</si>
  <si>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</si>
  <si>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</si>
  <si>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</si>
  <si>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</si>
  <si>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</si>
  <si>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</si>
  <si>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</si>
  <si>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</si>
  <si>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</si>
  <si>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</si>
  <si>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</si>
  <si>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</si>
  <si>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</si>
  <si>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</si>
  <si>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</si>
  <si>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</si>
  <si>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</si>
  <si>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</si>
  <si>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</si>
  <si>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</si>
  <si>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</si>
  <si>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</si>
  <si>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</si>
  <si>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</si>
  <si>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</si>
  <si>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</si>
  <si>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</si>
  <si>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</si>
  <si>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</si>
  <si>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</si>
  <si>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</si>
  <si>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</si>
  <si>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</si>
  <si>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</si>
  <si>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</si>
  <si>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</si>
  <si>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</si>
  <si>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</si>
  <si>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</si>
  <si>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</si>
  <si>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</si>
  <si>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</si>
  <si>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</si>
  <si>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</si>
  <si>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</si>
  <si>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</si>
  <si>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</si>
  <si>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</si>
  <si>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</si>
  <si>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</si>
  <si>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</si>
  <si>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</si>
  <si>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</si>
  <si>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</si>
  <si>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</si>
  <si>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</si>
  <si>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</si>
  <si>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</si>
  <si>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</si>
  <si>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</si>
  <si>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</si>
  <si>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</si>
  <si>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</si>
  <si>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</si>
  <si>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</si>
  <si>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</si>
  <si>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</si>
  <si>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</si>
  <si>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</si>
  <si>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</si>
  <si>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</si>
  <si>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</si>
  <si>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</si>
  <si>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</si>
  <si>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</si>
  <si>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</si>
  <si>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</si>
  <si>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</si>
  <si>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</si>
  <si>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</si>
  <si>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</si>
  <si>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</si>
  <si>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</si>
  <si>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</si>
  <si>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</si>
  <si>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</si>
  <si>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</si>
  <si>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</si>
  <si>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</si>
  <si>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</si>
  <si>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</si>
  <si>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</si>
  <si>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</si>
  <si>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</si>
  <si>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</si>
  <si>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</si>
  <si>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</si>
  <si>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</si>
  <si>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</si>
  <si>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</si>
  <si>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</si>
  <si>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</si>
  <si>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</si>
  <si>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</si>
  <si>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</si>
  <si>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</si>
  <si>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</si>
  <si>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</si>
  <si>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</si>
  <si>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</si>
  <si>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</si>
  <si>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</si>
  <si>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</si>
  <si>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</si>
  <si>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</si>
  <si>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</si>
  <si>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</si>
  <si>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</si>
  <si>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</si>
  <si>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</si>
  <si>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</si>
  <si>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</si>
  <si>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</si>
  <si>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</si>
  <si>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</si>
  <si>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</si>
  <si>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</si>
  <si>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</si>
  <si>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</si>
  <si>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</si>
  <si>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</si>
  <si>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</si>
  <si>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</si>
  <si>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</si>
  <si>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</si>
  <si>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</si>
  <si>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</si>
  <si>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</si>
  <si>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</si>
  <si>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</si>
  <si>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</si>
  <si>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</si>
  <si>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</si>
  <si>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</si>
  <si>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</si>
  <si>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</si>
  <si>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</si>
  <si>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</si>
  <si>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</si>
  <si>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</si>
  <si>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</si>
  <si>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</si>
  <si>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</si>
  <si>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</si>
  <si>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</si>
  <si>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</si>
  <si>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</si>
  <si>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</si>
  <si>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</si>
  <si>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</si>
  <si>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</si>
  <si>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</si>
  <si>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</si>
  <si>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</si>
  <si>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</si>
  <si>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</si>
  <si>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</si>
  <si>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</si>
  <si>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</si>
  <si>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</si>
  <si>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</si>
  <si>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</si>
  <si>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</si>
  <si>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</si>
  <si>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</si>
  <si>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</si>
  <si>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</si>
  <si>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</si>
  <si>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</si>
  <si>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</si>
  <si>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</si>
  <si>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</si>
  <si>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</si>
  <si>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</si>
  <si>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</si>
  <si>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</si>
  <si>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</si>
  <si>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</si>
  <si>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</si>
  <si>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</si>
  <si>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</si>
  <si>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</si>
  <si>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</si>
  <si>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</si>
  <si>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</si>
  <si>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</si>
  <si>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</si>
  <si>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</si>
  <si>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</si>
  <si>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</si>
  <si>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</si>
  <si>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</si>
  <si>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</si>
  <si>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</si>
  <si>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</si>
  <si>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</si>
  <si>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</si>
  <si>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</si>
  <si>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</si>
  <si>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</si>
  <si>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</si>
  <si>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</si>
  <si>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</si>
  <si>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</si>
  <si>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</si>
  <si>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</si>
  <si>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</si>
  <si>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</si>
  <si>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</si>
  <si>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</si>
  <si>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</si>
  <si>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</si>
  <si>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</si>
  <si>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</si>
  <si>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</si>
  <si>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</si>
  <si>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</si>
  <si>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</si>
  <si>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</si>
  <si>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</si>
  <si>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</si>
  <si>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</si>
  <si>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</si>
  <si>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</si>
  <si>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</si>
  <si>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</si>
  <si>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</si>
  <si>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</si>
  <si>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</si>
  <si>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</si>
  <si>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</si>
  <si>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</si>
  <si>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</si>
  <si>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</si>
  <si>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</si>
  <si>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</si>
  <si>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</si>
  <si>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</si>
  <si>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</si>
  <si>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</si>
  <si>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</si>
  <si>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</si>
  <si>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</si>
  <si>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</si>
  <si>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</si>
  <si>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</si>
  <si>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</si>
  <si>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</si>
  <si>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</si>
  <si>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</si>
  <si>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</si>
  <si>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</si>
  <si>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</si>
  <si>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</si>
  <si>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</si>
  <si>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</si>
  <si>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</si>
  <si>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</si>
  <si>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</si>
  <si>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</si>
  <si>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</si>
  <si>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</si>
  <si>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</si>
  <si>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</si>
  <si>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</si>
  <si>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</si>
  <si>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</si>
  <si>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</si>
  <si>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</si>
  <si>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</si>
  <si>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</si>
  <si>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</si>
  <si>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</si>
  <si>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</si>
  <si>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</si>
  <si>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</si>
  <si>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</si>
  <si>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</si>
  <si>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</si>
  <si>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</si>
  <si>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</si>
  <si>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</si>
  <si>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</si>
  <si>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</si>
  <si>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</si>
  <si>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</si>
  <si>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</si>
  <si>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</si>
  <si>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</si>
  <si>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</si>
  <si>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</si>
  <si>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</si>
  <si>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</si>
  <si>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</si>
  <si>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</si>
  <si>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</si>
  <si>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</si>
  <si>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</si>
  <si>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</si>
  <si>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</si>
  <si>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</si>
  <si>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</si>
  <si>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</si>
  <si>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</si>
  <si>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</si>
  <si>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</si>
  <si>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</si>
  <si>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</si>
  <si>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</si>
  <si>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</si>
  <si>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</si>
  <si>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</si>
  <si>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</si>
  <si>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</si>
  <si>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</si>
  <si>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</si>
  <si>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</si>
  <si>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</si>
  <si>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</si>
  <si>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</si>
  <si>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</si>
  <si>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</si>
  <si>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</si>
  <si>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</si>
  <si>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</si>
  <si>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</si>
  <si>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</si>
  <si>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</si>
  <si>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</si>
  <si>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</si>
  <si>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</si>
  <si>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</si>
  <si>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</si>
  <si>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</si>
  <si>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</si>
  <si>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</si>
  <si>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</si>
  <si>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</si>
  <si>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</si>
  <si>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</si>
  <si>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</si>
  <si>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</si>
  <si>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</si>
  <si>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</si>
  <si>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</si>
  <si>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</si>
  <si>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</si>
  <si>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</si>
  <si>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</si>
  <si>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</si>
  <si>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</si>
  <si>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</si>
  <si>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</si>
  <si>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</si>
  <si>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</si>
  <si>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</si>
  <si>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</si>
  <si>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</si>
  <si>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</si>
  <si>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</si>
  <si>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</si>
  <si>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</si>
  <si>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</si>
  <si>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</si>
  <si>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</si>
  <si>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</si>
  <si>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</si>
  <si>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</si>
  <si>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</si>
  <si>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</si>
  <si>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</si>
  <si>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</si>
  <si>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</si>
  <si>
    <t>12/7/1402</t>
  </si>
  <si>
    <t>15/7/1402</t>
  </si>
  <si>
    <t>طستا6016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</si>
</sst>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23356498274</c:v>
                </c:pt>
                <c:pt idx="1">
                  <c:v>0</c:v>
                </c:pt>
                <c:pt idx="2">
                  <c:v>278395480</c:v>
                </c:pt>
                <c:pt idx="3">
                  <c:v>107931636</c:v>
                </c:pt>
                <c:pt idx="4">
                  <c:v>0</c:v>
                </c:pt>
                <c:pt idx="5">
                  <c:v>0</c:v>
                </c:pt>
                <c:pt idx="6">
                  <c:v>0</c:v>
                </c:pt>
                <c:pt idx="7">
                  <c:v>1811085407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9.2055728519221415E-4</v>
      </c>
      <c r="F1" s="11"/>
      <c r="G1" s="278" t="s">
        <v>4406</v>
      </c>
      <c r="H1" s="1">
        <f>SUM(B20:B28)</f>
        <v>13851759376.55814</v>
      </c>
      <c r="J1" s="207" t="s">
        <v>4315</v>
      </c>
      <c r="K1" s="207" t="s">
        <v>4326</v>
      </c>
      <c r="L1" s="207" t="s">
        <v>4327</v>
      </c>
      <c r="M1" s="354" t="s">
        <v>25</v>
      </c>
      <c r="N1" s="354" t="s">
        <v>25</v>
      </c>
      <c r="V1" t="s">
        <v>25</v>
      </c>
      <c r="Z1" t="s">
        <v>25</v>
      </c>
      <c r="AA1" t="s">
        <v>25</v>
      </c>
    </row>
    <row r="2" spans="1:27">
      <c r="A2" s="361" t="s">
        <v>6661</v>
      </c>
      <c r="B2" s="364">
        <f>C2*D2</f>
        <v>584451364</v>
      </c>
      <c r="C2" s="371">
        <v>291788</v>
      </c>
      <c r="D2" s="361">
        <f>D20</f>
        <v>2003</v>
      </c>
      <c r="E2" s="361">
        <f>B2*100/$C$31</f>
        <v>2.1917724595809989</v>
      </c>
      <c r="F2" s="11"/>
      <c r="G2" s="354" t="s">
        <v>4318</v>
      </c>
      <c r="H2" s="1">
        <f>SUM(B15:B17)</f>
        <v>8063543160</v>
      </c>
      <c r="I2">
        <f t="shared" ref="I2:I7" si="0">K2-$K$10</f>
        <v>1479980</v>
      </c>
      <c r="J2" s="207" t="s">
        <v>690</v>
      </c>
      <c r="K2" s="207">
        <v>1479980</v>
      </c>
      <c r="L2" s="275">
        <f t="shared" ref="L2:L7" si="1">K2*$O$516</f>
        <v>8176712836.6828699</v>
      </c>
      <c r="M2" s="354">
        <f t="shared" ref="M2:M7" si="2">L2*100/$L$10</f>
        <v>31.262964799960791</v>
      </c>
      <c r="N2" s="1">
        <f t="shared" ref="N2:N7" si="3">M2*0.01*$N$10</f>
        <v>335294101.6711759</v>
      </c>
    </row>
    <row r="3" spans="1:27">
      <c r="E3" s="509"/>
      <c r="F3" t="s">
        <v>25</v>
      </c>
      <c r="G3" s="354" t="s">
        <v>4319</v>
      </c>
      <c r="H3" s="1">
        <f>SUM(B11:B12)</f>
        <v>831030997</v>
      </c>
      <c r="I3">
        <f t="shared" si="0"/>
        <v>2711333</v>
      </c>
      <c r="J3" s="207" t="s">
        <v>4317</v>
      </c>
      <c r="K3" s="207">
        <v>2711333</v>
      </c>
      <c r="L3" s="275">
        <f t="shared" si="1"/>
        <v>14979791176.652304</v>
      </c>
      <c r="M3" s="354">
        <f t="shared" si="2"/>
        <v>57.273955148023688</v>
      </c>
      <c r="N3" s="1">
        <f t="shared" si="3"/>
        <v>614260978.23376966</v>
      </c>
    </row>
    <row r="4" spans="1:27">
      <c r="A4" s="359" t="s">
        <v>6591</v>
      </c>
      <c r="B4" s="468">
        <v>462222997</v>
      </c>
      <c r="C4" s="372"/>
      <c r="D4" s="468"/>
      <c r="E4" s="361">
        <f>B4*100/$C$31</f>
        <v>1.7333993851532712</v>
      </c>
      <c r="F4" s="11"/>
      <c r="G4" s="354" t="s">
        <v>6832</v>
      </c>
      <c r="H4" s="1">
        <f>SUM(B5:B8)</f>
        <v>1523824916</v>
      </c>
      <c r="I4">
        <f t="shared" si="0"/>
        <v>41446</v>
      </c>
      <c r="J4" s="207" t="s">
        <v>4316</v>
      </c>
      <c r="K4" s="207">
        <v>41446</v>
      </c>
      <c r="L4" s="275">
        <f t="shared" si="1"/>
        <v>228984202.64406157</v>
      </c>
      <c r="M4" s="354">
        <f t="shared" si="2"/>
        <v>0.87550158725062166</v>
      </c>
      <c r="N4" s="1">
        <f t="shared" si="3"/>
        <v>9389721.0353272054</v>
      </c>
    </row>
    <row r="5" spans="1:27">
      <c r="A5" s="359" t="s">
        <v>6592</v>
      </c>
      <c r="B5" s="468">
        <f t="shared" ref="B5:B7" si="4">C5*D5</f>
        <v>1414118000</v>
      </c>
      <c r="C5" s="372">
        <v>706000</v>
      </c>
      <c r="D5" s="359">
        <f>D20</f>
        <v>2003</v>
      </c>
      <c r="E5" s="361">
        <f>B5*100/$C$31</f>
        <v>5.303135689144808</v>
      </c>
      <c r="F5" s="11"/>
      <c r="G5" s="354" t="s">
        <v>6833</v>
      </c>
      <c r="H5" s="1">
        <f>SUM(B2:B2)</f>
        <v>584451364</v>
      </c>
      <c r="I5">
        <f t="shared" si="0"/>
        <v>120081</v>
      </c>
      <c r="J5" s="207" t="s">
        <v>1005</v>
      </c>
      <c r="K5" s="207">
        <v>120081</v>
      </c>
      <c r="L5" s="275">
        <f t="shared" si="1"/>
        <v>663433191.08482254</v>
      </c>
      <c r="M5" s="354">
        <f t="shared" si="2"/>
        <v>2.5365802755064877</v>
      </c>
      <c r="N5" s="1">
        <f t="shared" si="3"/>
        <v>27204726.430611543</v>
      </c>
      <c r="T5" t="s">
        <v>25</v>
      </c>
      <c r="U5" t="s">
        <v>25</v>
      </c>
    </row>
    <row r="6" spans="1:27">
      <c r="A6" s="359" t="s">
        <v>7017</v>
      </c>
      <c r="B6" s="468">
        <f t="shared" si="4"/>
        <v>1105280</v>
      </c>
      <c r="C6" s="372">
        <v>2512</v>
      </c>
      <c r="D6" s="359">
        <f>'خرید و فروش نسبتی'!O34</f>
        <v>440</v>
      </c>
      <c r="E6" s="361">
        <f>B6*100/$C$31</f>
        <v>4.1449509973693665E-3</v>
      </c>
      <c r="F6" s="205"/>
      <c r="G6" s="354" t="s">
        <v>4320</v>
      </c>
      <c r="H6" s="1">
        <f>B19</f>
        <v>1406825</v>
      </c>
      <c r="I6" s="378">
        <f t="shared" si="0"/>
        <v>287123</v>
      </c>
      <c r="J6" s="207" t="s">
        <v>5281</v>
      </c>
      <c r="K6" s="207">
        <v>287123</v>
      </c>
      <c r="L6" s="275">
        <f t="shared" si="1"/>
        <v>1586320301.4952199</v>
      </c>
      <c r="M6" s="386">
        <f t="shared" si="2"/>
        <v>6.0651605036954166</v>
      </c>
      <c r="N6" s="1">
        <f t="shared" si="3"/>
        <v>65048614.409744076</v>
      </c>
    </row>
    <row r="7" spans="1:27">
      <c r="A7" s="359" t="s">
        <v>4716</v>
      </c>
      <c r="B7" s="468">
        <f t="shared" si="4"/>
        <v>107931636</v>
      </c>
      <c r="C7" s="372">
        <v>6582</v>
      </c>
      <c r="D7" s="359">
        <f>'خرید و فروش نسبتی'!O38</f>
        <v>16398</v>
      </c>
      <c r="E7" s="361">
        <f>B7*100/$C$31</f>
        <v>0.40475838003574421</v>
      </c>
      <c r="F7" s="351"/>
      <c r="G7" s="354" t="s">
        <v>4321</v>
      </c>
      <c r="H7" s="1">
        <f>B14</f>
        <v>1079777934</v>
      </c>
      <c r="I7" s="378">
        <f t="shared" si="0"/>
        <v>94009</v>
      </c>
      <c r="J7" s="207" t="s">
        <v>6831</v>
      </c>
      <c r="K7" s="207">
        <v>94009</v>
      </c>
      <c r="L7" s="275">
        <f t="shared" si="1"/>
        <v>519388503.26607108</v>
      </c>
      <c r="M7" s="386">
        <f t="shared" si="2"/>
        <v>1.98583768556299</v>
      </c>
      <c r="N7" s="1">
        <f t="shared" si="3"/>
        <v>21298033.219371594</v>
      </c>
      <c r="T7" t="s">
        <v>25</v>
      </c>
    </row>
    <row r="8" spans="1:27">
      <c r="A8" s="339" t="s">
        <v>6907</v>
      </c>
      <c r="B8" s="468">
        <f>C8*D8</f>
        <v>670000</v>
      </c>
      <c r="C8" s="372">
        <v>5000</v>
      </c>
      <c r="D8" s="359">
        <f>D24</f>
        <v>134</v>
      </c>
      <c r="E8" s="361">
        <f>B8*100/$C$31</f>
        <v>2.5125915317724696E-3</v>
      </c>
      <c r="F8" s="351"/>
      <c r="G8" s="354" t="s">
        <v>4322</v>
      </c>
      <c r="H8" s="1">
        <f>B10</f>
        <v>267432178</v>
      </c>
      <c r="I8" t="s">
        <v>25</v>
      </c>
      <c r="J8" s="207"/>
      <c r="K8" s="207"/>
      <c r="L8" s="207"/>
      <c r="M8" s="354"/>
      <c r="N8" s="354" t="s">
        <v>25</v>
      </c>
      <c r="U8" t="s">
        <v>25</v>
      </c>
    </row>
    <row r="9" spans="1:27">
      <c r="A9" s="351"/>
      <c r="B9" s="352"/>
      <c r="C9" s="370"/>
      <c r="D9" s="351"/>
      <c r="E9" s="509"/>
      <c r="F9" s="205"/>
      <c r="G9" s="354" t="s">
        <v>6834</v>
      </c>
      <c r="H9" s="1">
        <f>B4</f>
        <v>462222997</v>
      </c>
      <c r="J9" s="207"/>
      <c r="K9" s="207">
        <f>SUM(K2:K7)</f>
        <v>4733972</v>
      </c>
      <c r="L9" s="207"/>
      <c r="M9" s="1" t="s">
        <v>25</v>
      </c>
      <c r="N9" s="354" t="s">
        <v>25</v>
      </c>
      <c r="U9" t="s">
        <v>25</v>
      </c>
    </row>
    <row r="10" spans="1:27">
      <c r="A10" s="358" t="s">
        <v>4323</v>
      </c>
      <c r="B10" s="357">
        <v>267432178</v>
      </c>
      <c r="C10" s="374"/>
      <c r="D10" s="358"/>
      <c r="E10" s="361">
        <f>B10*100/$C$31</f>
        <v>1.0029072026362205</v>
      </c>
      <c r="F10" s="205"/>
      <c r="G10" s="354" t="s">
        <v>6835</v>
      </c>
      <c r="H10" s="1">
        <f>B1</f>
        <v>245473</v>
      </c>
      <c r="I10" t="s">
        <v>25</v>
      </c>
      <c r="J10" s="207"/>
      <c r="K10" s="207">
        <f>K9-P513</f>
        <v>0</v>
      </c>
      <c r="L10" s="275">
        <f>SUM(L2:L7)</f>
        <v>26154630211.825352</v>
      </c>
      <c r="M10" s="354" t="s">
        <v>25</v>
      </c>
      <c r="N10" s="1">
        <v>1072496175</v>
      </c>
    </row>
    <row r="11" spans="1:27" ht="18" customHeight="1">
      <c r="A11" s="358" t="s">
        <v>4306</v>
      </c>
      <c r="B11" s="357">
        <f>C11*D11</f>
        <v>830517911</v>
      </c>
      <c r="C11" s="374">
        <v>414637</v>
      </c>
      <c r="D11" s="358">
        <f>D20</f>
        <v>2003</v>
      </c>
      <c r="E11" s="361">
        <f>B11*100/$C$31</f>
        <v>3.1145556271103905</v>
      </c>
      <c r="F11" s="205"/>
      <c r="G11" s="354" t="s">
        <v>7008</v>
      </c>
      <c r="H11" s="1">
        <f>-F29</f>
        <v>0</v>
      </c>
      <c r="I11" t="s">
        <v>25</v>
      </c>
      <c r="J11" s="207"/>
      <c r="K11" s="207" t="s">
        <v>5607</v>
      </c>
      <c r="L11" s="275">
        <f>H3+H8-L5</f>
        <v>435029983.91517746</v>
      </c>
      <c r="M11" s="354">
        <f>L11/L4</f>
        <v>1.8998253106193457</v>
      </c>
      <c r="N11" s="354" t="s">
        <v>25</v>
      </c>
      <c r="P11" t="s">
        <v>25</v>
      </c>
    </row>
    <row r="12" spans="1:27">
      <c r="A12" s="358" t="s">
        <v>5594</v>
      </c>
      <c r="B12" s="357">
        <f>C12*D12</f>
        <v>513086</v>
      </c>
      <c r="C12" s="374">
        <v>3829</v>
      </c>
      <c r="D12" s="358">
        <f>D24</f>
        <v>134</v>
      </c>
      <c r="E12" s="361">
        <f>B12*100/$C$31</f>
        <v>1.9241425950313573E-3</v>
      </c>
      <c r="F12" s="205"/>
      <c r="G12" s="354" t="s">
        <v>4922</v>
      </c>
      <c r="H12" s="1">
        <v>0</v>
      </c>
      <c r="I12" t="s">
        <v>25</v>
      </c>
      <c r="J12" s="207"/>
      <c r="K12" s="207" t="s">
        <v>5606</v>
      </c>
      <c r="L12" s="275">
        <f>L4-L11</f>
        <v>-206045781.2711159</v>
      </c>
      <c r="M12" s="354">
        <f>L12/L4</f>
        <v>-0.89982531061934568</v>
      </c>
      <c r="N12" s="354"/>
      <c r="Q12" t="s">
        <v>25</v>
      </c>
      <c r="U12" t="s">
        <v>25</v>
      </c>
    </row>
    <row r="13" spans="1:27">
      <c r="A13" s="19"/>
      <c r="B13" s="37"/>
      <c r="C13" s="342"/>
      <c r="D13" s="19"/>
      <c r="E13" s="509"/>
      <c r="F13" s="205"/>
      <c r="G13" s="354" t="s">
        <v>6768</v>
      </c>
      <c r="H13" s="1">
        <f>0</f>
        <v>0</v>
      </c>
      <c r="J13" s="207"/>
      <c r="K13" s="207" t="s">
        <v>6866</v>
      </c>
      <c r="L13" s="275">
        <f>H2+H7-L2-L12</f>
        <v>1172654038.5882459</v>
      </c>
      <c r="M13" s="354">
        <f t="shared" ref="M13:M15" si="5">L13/L5</f>
        <v>1.7675540722808327</v>
      </c>
      <c r="N13" s="354" t="s">
        <v>25</v>
      </c>
      <c r="T13" s="35"/>
    </row>
    <row r="14" spans="1:27" ht="34.5" customHeight="1">
      <c r="A14" s="362" t="s">
        <v>6754</v>
      </c>
      <c r="B14" s="363">
        <v>1079777934</v>
      </c>
      <c r="C14" s="373" t="s">
        <v>857</v>
      </c>
      <c r="D14" s="362" t="s">
        <v>3843</v>
      </c>
      <c r="E14" s="361">
        <f>B14*100/$C$31</f>
        <v>4.0493147659151827</v>
      </c>
      <c r="F14" s="205"/>
      <c r="G14" s="278" t="s">
        <v>7067</v>
      </c>
      <c r="H14" s="1">
        <f>-'خرید و فروش نسبتی'!P45</f>
        <v>-511065008.73279321</v>
      </c>
      <c r="J14" s="207"/>
      <c r="K14" s="207" t="s">
        <v>6865</v>
      </c>
      <c r="L14" s="275">
        <f>H4+H9-L6</f>
        <v>399727611.50478005</v>
      </c>
      <c r="M14" s="354">
        <f t="shared" si="5"/>
        <v>0.25198417439908466</v>
      </c>
      <c r="N14" s="11" t="s">
        <v>25</v>
      </c>
      <c r="T14" s="35"/>
    </row>
    <row r="15" spans="1:27">
      <c r="A15" s="362" t="s">
        <v>4188</v>
      </c>
      <c r="B15" s="363">
        <f t="shared" ref="B15:B17" si="6">C15*D15</f>
        <v>7841745000</v>
      </c>
      <c r="C15" s="373">
        <v>3915000</v>
      </c>
      <c r="D15" s="362">
        <f>D20</f>
        <v>2003</v>
      </c>
      <c r="E15" s="361">
        <f>B15*100/$C$31</f>
        <v>29.407615046744933</v>
      </c>
      <c r="F15" s="205"/>
      <c r="G15" s="354"/>
      <c r="H15" s="1"/>
      <c r="J15" s="207"/>
      <c r="K15" s="207" t="s">
        <v>6867</v>
      </c>
      <c r="L15" s="275">
        <f>H5+H10-L7</f>
        <v>65308333.733928919</v>
      </c>
      <c r="M15" s="354">
        <f t="shared" si="5"/>
        <v>0.12574081506088503</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0.82926080933198176</v>
      </c>
      <c r="F17" s="205"/>
      <c r="G17" s="354" t="s">
        <v>4324</v>
      </c>
      <c r="H17" s="1">
        <f>SUM(H1:H16)</f>
        <v>26154630211.825348</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1406825</v>
      </c>
      <c r="C19" s="356" t="s">
        <v>25</v>
      </c>
      <c r="D19" s="360" t="s">
        <v>25</v>
      </c>
      <c r="E19" s="361">
        <f t="shared" ref="E19:E27" si="7">B19*100/$C$31</f>
        <v>5.2757859428146335E-3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12685665999</v>
      </c>
      <c r="C20" s="375">
        <v>6333333</v>
      </c>
      <c r="D20" s="360">
        <f>'خرید و فروش نسبتی'!O32</f>
        <v>2003</v>
      </c>
      <c r="E20" s="361">
        <f t="shared" si="7"/>
        <v>47.572980543255738</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3.1266982055307424E-5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0.21061532255383092</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2.2498569605545904</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2.5125915317724696E-2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1.887380005798573</v>
      </c>
      <c r="F25" s="473"/>
      <c r="G25" s="2" t="s">
        <v>4328</v>
      </c>
      <c r="H25" s="37">
        <f>-L13</f>
        <v>-1172654038.5882459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26665695220.55814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535058.19412400702</v>
      </c>
      <c r="D33" s="370">
        <f>C31/D22</f>
        <v>60603852.773995772</v>
      </c>
      <c r="E33" s="370">
        <f>C31/D20</f>
        <v>13312878.29283981</v>
      </c>
      <c r="F33" s="370">
        <f>C31/D21</f>
        <v>31982619.820202783</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11660758</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1.0461942120486022E-2</v>
      </c>
      <c r="E35" s="471">
        <f>E34/E33</f>
        <v>0.8759005936583687</v>
      </c>
      <c r="F35" s="471">
        <f>F34/F33</f>
        <v>3.1266982055307423E-7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5454346749.6596193</v>
      </c>
      <c r="E36" s="370">
        <f>E33*E31</f>
        <v>4459814228.1013365</v>
      </c>
      <c r="F36" s="370">
        <f>F33*F31</f>
        <v>2558609585.6162224</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3906353930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23356498274</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21357928910</v>
      </c>
      <c r="K55" s="470">
        <f>I55-J55</f>
        <v>564571090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1348616937</v>
      </c>
      <c r="K58" s="157">
        <f>I58-J58</f>
        <v>-1348616937</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11660758</v>
      </c>
      <c r="C120" s="477">
        <f>B120*D20</f>
        <v>23356498274</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1811085407</v>
      </c>
      <c r="C127" s="493">
        <f>B127</f>
        <v>1811085407</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13853166201.55814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13975255060.496576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13670996621.3978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9143321094</v>
      </c>
    </row>
    <row r="516" spans="13:42">
      <c r="O516" s="143">
        <f>H17/P513</f>
        <v>5524.8806312807401</v>
      </c>
      <c r="P516" s="35"/>
      <c r="Q516" s="35"/>
      <c r="R516" s="35"/>
      <c r="S516" s="35" t="s">
        <v>25</v>
      </c>
      <c r="T516" t="s">
        <v>25</v>
      </c>
      <c r="AB516" t="s">
        <v>25</v>
      </c>
      <c r="AK516" t="s">
        <v>4037</v>
      </c>
      <c r="AL516" s="7">
        <f>AL515-AL511</f>
        <v>9083309157.8358192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8978951425.6303463</v>
      </c>
      <c r="AO518" t="s">
        <v>25</v>
      </c>
      <c r="AP518" t="s">
        <v>25</v>
      </c>
    </row>
    <row r="519" spans="13:42">
      <c r="O519" s="76"/>
      <c r="P519" s="1">
        <v>-776397440</v>
      </c>
      <c r="Q519" s="35">
        <f>P519/O516</f>
        <v>-140527.45965300989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26154630211.825348</v>
      </c>
      <c r="Q529" s="26">
        <f>P529-O529</f>
        <v>23232369874.074848</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1"/>
  <sheetViews>
    <sheetView topLeftCell="E22" zoomScale="85" zoomScaleNormal="85" workbookViewId="0">
      <selection activeCell="O33" sqref="O3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3.6702459046432367</v>
      </c>
      <c r="J1" s="437">
        <f t="shared" ref="J1" si="0">I1/H1</f>
        <v>0.94658410192745279</v>
      </c>
      <c r="K1" s="435">
        <f t="shared" ref="K1" si="1">(1/J1-1.0256)*100</f>
        <v>3.0830166071647236</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3.6702459046432367</v>
      </c>
      <c r="J2" s="437">
        <f t="shared" ref="J2" si="2">I2/H2</f>
        <v>0.92751162449542446</v>
      </c>
      <c r="K2" s="435">
        <f t="shared" ref="K2" si="3">(1/J2-1.0256)*100</f>
        <v>5.2553603243527869</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0.41625352668671406</v>
      </c>
      <c r="J7" s="499">
        <f t="shared" ref="J7" si="6">I7/H7</f>
        <v>1.0786897822713712</v>
      </c>
      <c r="K7" s="546">
        <f t="shared" ref="K7" si="7">(1/J7-1.0256)*100</f>
        <v>-9.8549409148639633</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0.41625352668671406</v>
      </c>
      <c r="J8" s="499">
        <f t="shared" ref="J8" si="9">I8/H8</f>
        <v>1.0786897822713712</v>
      </c>
      <c r="K8" s="546">
        <f t="shared" ref="K8" si="10">(1/J8-1.0256)*100</f>
        <v>-9.8549409148639633</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0.41625352668671406</v>
      </c>
      <c r="J9" s="499">
        <f t="shared" ref="J9" si="11">I9/H9</f>
        <v>1.1029664650801247</v>
      </c>
      <c r="K9" s="546">
        <f t="shared" ref="K9" si="12">(1/J9-1.0256)*100</f>
        <v>-11.89541212176789</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0.41625352668671406</v>
      </c>
      <c r="J10" s="499">
        <f t="shared" ref="J10" si="13">I10/H10</f>
        <v>1.1028083941206235</v>
      </c>
      <c r="K10" s="546">
        <f t="shared" ref="K10" si="14">(1/J10-1.0256)*100</f>
        <v>-11.882416719778666</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0.41625352668671406</v>
      </c>
      <c r="J11" s="499">
        <f t="shared" ref="J11" si="15">I11/H11</f>
        <v>1.1052792507855551</v>
      </c>
      <c r="K11" s="546">
        <f t="shared" ref="K11" si="16">(1/J11-1.0256)*100</f>
        <v>-12.085126859183326</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0.41625352668671406</v>
      </c>
      <c r="J12" s="499">
        <f t="shared" ref="J12" si="17">I12/H12</f>
        <v>1.1052792507855551</v>
      </c>
      <c r="K12" s="546">
        <f t="shared" ref="K12" si="18">(1/J12-1.0256)*100</f>
        <v>-12.085126859183326</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0.41625352668671406</v>
      </c>
      <c r="J13" s="499">
        <f t="shared" ref="J13" si="19">I13/H13</f>
        <v>1.1052792507855551</v>
      </c>
      <c r="K13" s="546">
        <f t="shared" ref="K13" si="20">(1/J13-1.0256)*100</f>
        <v>-12.085126859183326</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0.41625352668671406</v>
      </c>
      <c r="J14" s="499">
        <f t="shared" ref="J14" si="21">I14/H14</f>
        <v>1.1042281055161443</v>
      </c>
      <c r="K14" s="546">
        <f t="shared" ref="K14" si="22">(1/J14-1.0256)*100</f>
        <v>-11.999001325493841</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0.41625352668671406</v>
      </c>
      <c r="J15" s="499">
        <f t="shared" ref="J15" si="23">I15/H15</f>
        <v>1.0663944123306046</v>
      </c>
      <c r="K15" s="546">
        <f t="shared" ref="K15" si="24">(1/J15-1.0256)*100</f>
        <v>-8.7860652871857958</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14.947761194029852</v>
      </c>
      <c r="J17" s="561">
        <f>I17/H17</f>
        <v>0.97360284140793363</v>
      </c>
      <c r="K17" s="563">
        <f t="shared" ref="K17" si="25">(1/J17-1.0256)*100</f>
        <v>0.15128610860390967</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14.947761194029852</v>
      </c>
      <c r="J18" s="437">
        <f>I18/H18</f>
        <v>0.90713512589723144</v>
      </c>
      <c r="K18" s="438">
        <f t="shared" ref="K18" si="26">(1/J18-1.0256)*100</f>
        <v>7.6771599832954784</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14.947761194029852</v>
      </c>
      <c r="J19" s="437">
        <f>I19/H19</f>
        <v>0.93300466154645401</v>
      </c>
      <c r="K19" s="438">
        <f t="shared" ref="K19" si="27">(1/J19-1.0256)*100</f>
        <v>4.6206006137741396</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30" si="28">C22*D22*0.9912/G22</f>
        <v>1100999.9460767999</v>
      </c>
      <c r="I22" s="544">
        <f t="shared" ref="I22:I27" si="29">(F22+G22)*H22</f>
        <v>38424898.118080318</v>
      </c>
      <c r="J22" s="437">
        <f t="shared" ref="J22:J27" si="30">(I22-H22*$O$28)/($O$32*1.003631981)</f>
        <v>18566.564678720071</v>
      </c>
      <c r="K22" s="438">
        <f t="shared" ref="K22:K67" si="31">(J22-D22)*100/D22</f>
        <v>20.219193203138587</v>
      </c>
      <c r="L22" s="491">
        <f>D22*K22/100</f>
        <v>3122.6374787200712</v>
      </c>
      <c r="M22" s="344">
        <f>H22*$O$28</f>
        <v>1100999.9460767999</v>
      </c>
      <c r="N22" s="486" t="s">
        <v>7031</v>
      </c>
      <c r="O22" s="487">
        <v>32</v>
      </c>
      <c r="P22" s="576">
        <f>P21*1000/H33*D33</f>
        <v>107000.76705543131</v>
      </c>
      <c r="Q22" s="65">
        <f>Q21*1000/H34*188309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6902.831095473045</v>
      </c>
      <c r="K23" s="438">
        <f t="shared" ref="K23" si="33">(J23-D23)*100/D23</f>
        <v>15.832756242232445</v>
      </c>
      <c r="L23" s="491">
        <f t="shared" ref="L23" si="34">D23*K23/100</f>
        <v>943.52276213971174</v>
      </c>
      <c r="M23" s="344">
        <f t="shared" ref="M23:M24" si="35">H23*$O$28</f>
        <v>482999.92342000001</v>
      </c>
      <c r="N23" s="486" t="s">
        <v>7030</v>
      </c>
      <c r="O23" s="487">
        <v>25</v>
      </c>
      <c r="P23" s="577">
        <f>P22+Q22</f>
        <v>189407.02003372787</v>
      </c>
      <c r="Q23" s="578"/>
      <c r="S23" s="351">
        <v>63932.799498746863</v>
      </c>
      <c r="T23" s="351">
        <f>S23*O32*1.003632/(O38*0.9912)</f>
        <v>7907.2777792624993</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1849.4936696129246</v>
      </c>
      <c r="K24" s="438">
        <f t="shared" ref="K24" si="37">(J24-D24)*100/D24</f>
        <v>15.308626123489317</v>
      </c>
      <c r="L24" s="491">
        <f t="shared" ref="L24" si="38">D24*K24/100</f>
        <v>245.54283627959126</v>
      </c>
      <c r="M24" s="344">
        <f t="shared" si="35"/>
        <v>129999.67216599999</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2860.3020349132116</v>
      </c>
      <c r="K25" s="438">
        <f t="shared" ref="K25:K26" si="40">(J25-D25)*100/D25</f>
        <v>15.913391645116013</v>
      </c>
      <c r="L25" s="491">
        <f t="shared" ref="L25:L26" si="41">D25*K25/100</f>
        <v>392.68203491321174</v>
      </c>
      <c r="M25" s="344">
        <f t="shared" ref="M25:M26" si="42">H25*$O$28</f>
        <v>199999.76580553845</v>
      </c>
      <c r="N25" s="486" t="s">
        <v>7028</v>
      </c>
      <c r="O25" s="487">
        <v>12</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2119.1107249965708</v>
      </c>
      <c r="K26" s="438">
        <f t="shared" si="40"/>
        <v>14.502272094653733</v>
      </c>
      <c r="L26" s="491">
        <f t="shared" si="41"/>
        <v>268.39572499657083</v>
      </c>
      <c r="M26" s="344">
        <f t="shared" si="42"/>
        <v>149999.82435415385</v>
      </c>
      <c r="N26" s="486" t="s">
        <v>7027</v>
      </c>
      <c r="O26" s="487">
        <v>7</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1122.77*G27/26</f>
        <v>1122.77</v>
      </c>
      <c r="E27" s="189" t="s">
        <v>7022</v>
      </c>
      <c r="F27" s="190">
        <v>3.3</v>
      </c>
      <c r="G27" s="554">
        <v>26</v>
      </c>
      <c r="H27" s="301">
        <f t="shared" ref="H27" si="43">C27*D27*0.9912/G27</f>
        <v>91000.128485538458</v>
      </c>
      <c r="I27" s="544">
        <f t="shared" si="29"/>
        <v>2666303.7646262767</v>
      </c>
      <c r="J27" s="437">
        <f t="shared" si="30"/>
        <v>1281.0704098323647</v>
      </c>
      <c r="K27" s="438">
        <f t="shared" ref="K27" si="44">(J27-D27)*100/D27</f>
        <v>14.099095080235909</v>
      </c>
      <c r="L27" s="491">
        <f t="shared" ref="L27" si="45">D27*K27/100</f>
        <v>158.30040983236472</v>
      </c>
      <c r="M27" s="344">
        <f t="shared" ref="M27" si="46">H27*$O$28</f>
        <v>91000.128485538458</v>
      </c>
      <c r="N27" s="486" t="s">
        <v>7023</v>
      </c>
      <c r="O27" s="487">
        <v>11</v>
      </c>
      <c r="R27" s="63" t="s">
        <v>6154</v>
      </c>
      <c r="S27" s="63">
        <v>14984</v>
      </c>
      <c r="T27" s="63">
        <f>S27*0.9912/1.003631981</f>
        <v>14798.393316643422</v>
      </c>
      <c r="V27" s="549"/>
      <c r="W27" s="549"/>
      <c r="X27" s="549"/>
      <c r="Y27" s="549"/>
    </row>
    <row r="28" spans="1:28" ht="21">
      <c r="A28" s="229" t="s">
        <v>7073</v>
      </c>
      <c r="B28" s="225" t="s">
        <v>4134</v>
      </c>
      <c r="C28" s="224">
        <v>2070</v>
      </c>
      <c r="D28" s="301">
        <f>3155.3*G28/26</f>
        <v>3155.3</v>
      </c>
      <c r="E28" s="189" t="s">
        <v>7022</v>
      </c>
      <c r="F28" s="190">
        <v>2.84</v>
      </c>
      <c r="G28" s="554">
        <v>26</v>
      </c>
      <c r="H28" s="301">
        <f t="shared" ref="H28" si="47">C28*D28*0.9912/G28</f>
        <v>248999.77135384612</v>
      </c>
      <c r="I28" s="544">
        <f t="shared" ref="I28" si="48">(F28+G28)*H28</f>
        <v>7181153.4058449222</v>
      </c>
      <c r="J28" s="437">
        <f t="shared" ref="J28" si="49">(I28-H28*$O$28)/($O$32*1.003631981)</f>
        <v>3448.3611069902918</v>
      </c>
      <c r="K28" s="438">
        <f t="shared" ref="K28" si="50">(J28-D28)*100/D28</f>
        <v>9.2878999458147113</v>
      </c>
      <c r="L28" s="491">
        <f t="shared" ref="L28" si="51">D28*K28/100</f>
        <v>293.06110699029159</v>
      </c>
      <c r="M28" s="344">
        <f t="shared" ref="M28" si="52">H28*$O$28</f>
        <v>248999.77135384612</v>
      </c>
      <c r="N28" s="486" t="s">
        <v>7022</v>
      </c>
      <c r="O28" s="487">
        <v>1</v>
      </c>
      <c r="R28" s="63" t="s">
        <v>1004</v>
      </c>
      <c r="S28" s="63">
        <v>1155794</v>
      </c>
      <c r="T28" s="63">
        <f>S28/1.00125</f>
        <v>1154351.0611735331</v>
      </c>
      <c r="V28" s="549"/>
      <c r="W28" s="549"/>
      <c r="X28" s="549"/>
      <c r="Y28" s="549"/>
    </row>
    <row r="29" spans="1:28" ht="21">
      <c r="A29" s="229" t="s">
        <v>7074</v>
      </c>
      <c r="B29" s="225" t="s">
        <v>4134</v>
      </c>
      <c r="C29" s="224">
        <v>2126</v>
      </c>
      <c r="D29" s="301">
        <f>2467.62*G29/26</f>
        <v>2467.62</v>
      </c>
      <c r="E29" s="189" t="s">
        <v>7075</v>
      </c>
      <c r="F29" s="190">
        <v>3.4</v>
      </c>
      <c r="G29" s="554">
        <v>26</v>
      </c>
      <c r="H29" s="301">
        <f t="shared" ref="H29" si="53">C29*D29*0.9912/G29</f>
        <v>199999.76580553845</v>
      </c>
      <c r="I29" s="544">
        <f t="shared" ref="I29" si="54">(F29+G29)*H29</f>
        <v>5879993.1146828299</v>
      </c>
      <c r="J29" s="437">
        <f t="shared" ref="J29" si="55">(I29-H29*$O$28)/($O$32*1.003631981)</f>
        <v>2825.4809666620936</v>
      </c>
      <c r="K29" s="438">
        <f t="shared" ref="K29" si="56">(J29-D29)*100/D29</f>
        <v>14.502272094653703</v>
      </c>
      <c r="L29" s="491">
        <f t="shared" ref="L29" si="57">D29*K29/100</f>
        <v>357.86096666209369</v>
      </c>
      <c r="M29" s="344">
        <f t="shared" ref="M29" si="58">H29*$O$28</f>
        <v>199999.76580553845</v>
      </c>
      <c r="N29" s="488" t="s">
        <v>6904</v>
      </c>
      <c r="O29" s="489">
        <v>2020</v>
      </c>
    </row>
    <row r="30" spans="1:28" ht="21">
      <c r="A30" s="229" t="s">
        <v>7021</v>
      </c>
      <c r="B30" s="225" t="s">
        <v>4134</v>
      </c>
      <c r="C30" s="224">
        <v>1870</v>
      </c>
      <c r="D30" s="582">
        <v>5870.37</v>
      </c>
      <c r="E30" s="551" t="s">
        <v>7023</v>
      </c>
      <c r="F30" s="552">
        <v>19</v>
      </c>
      <c r="G30" s="553">
        <v>27</v>
      </c>
      <c r="H30" s="582">
        <f t="shared" si="28"/>
        <v>402999.59597333334</v>
      </c>
      <c r="I30" s="544">
        <f t="shared" ref="I30:I56" si="59">(F30+G30)*H30</f>
        <v>18537981.414773334</v>
      </c>
      <c r="J30" s="437">
        <f>(I30-H30*$O$27)/($O$32*1.003631981)</f>
        <v>7016.4464343445534</v>
      </c>
      <c r="K30" s="438">
        <f t="shared" si="31"/>
        <v>19.523069829406897</v>
      </c>
      <c r="L30" s="491">
        <f t="shared" ref="L30:L67" si="60">D30*K30/100</f>
        <v>1146.0764343445535</v>
      </c>
      <c r="M30" s="344">
        <f>H30*$O$27</f>
        <v>4432995.5557066668</v>
      </c>
      <c r="N30" s="486" t="s">
        <v>6903</v>
      </c>
      <c r="O30" s="486">
        <v>303</v>
      </c>
    </row>
    <row r="31" spans="1:28" ht="21">
      <c r="A31" s="229" t="s">
        <v>7035</v>
      </c>
      <c r="B31" s="225" t="s">
        <v>4134</v>
      </c>
      <c r="C31" s="224">
        <v>1812.2</v>
      </c>
      <c r="D31" s="301">
        <f>62663.79*G31/24</f>
        <v>67885.772500000006</v>
      </c>
      <c r="E31" s="566" t="s">
        <v>7027</v>
      </c>
      <c r="F31" s="555">
        <v>10.1</v>
      </c>
      <c r="G31" s="382">
        <v>26</v>
      </c>
      <c r="H31" s="573">
        <f t="shared" ref="H31" si="61">C31*D31*0.9912/G31</f>
        <v>4689999.9258294012</v>
      </c>
      <c r="I31" s="544">
        <f t="shared" ref="I31" si="62">(F31+G31)*H31</f>
        <v>169308997.3224414</v>
      </c>
      <c r="J31" s="437">
        <f t="shared" ref="J31:J33" si="63">(I31-H31*$O$26)/($O$32*1.003631981)</f>
        <v>67890.715193685886</v>
      </c>
      <c r="K31" s="438">
        <f t="shared" si="31"/>
        <v>7.2808977549455303E-3</v>
      </c>
      <c r="L31" s="491">
        <f t="shared" si="60"/>
        <v>4.9426936858799309</v>
      </c>
      <c r="M31" s="344">
        <f>H31*$O$26</f>
        <v>32829999.480805807</v>
      </c>
      <c r="N31" s="331" t="s">
        <v>5594</v>
      </c>
      <c r="O31" s="331">
        <v>134</v>
      </c>
      <c r="P31" s="549"/>
    </row>
    <row r="32" spans="1:28" ht="21">
      <c r="A32" s="229" t="s">
        <v>7037</v>
      </c>
      <c r="B32" s="225" t="s">
        <v>4134</v>
      </c>
      <c r="C32" s="224">
        <v>2083</v>
      </c>
      <c r="D32" s="301">
        <f>73348.299*G32/24</f>
        <v>79460.657250000004</v>
      </c>
      <c r="E32" s="566" t="s">
        <v>7027</v>
      </c>
      <c r="F32" s="555">
        <v>8.1</v>
      </c>
      <c r="G32" s="382">
        <v>26</v>
      </c>
      <c r="H32" s="573">
        <f t="shared" ref="H32" si="64">C32*D32*0.9912/G32</f>
        <v>6310000.1315421006</v>
      </c>
      <c r="I32" s="544">
        <f t="shared" ref="I32" si="65">(F32+G32)*H32</f>
        <v>215171004.48558563</v>
      </c>
      <c r="J32" s="437">
        <f t="shared" si="63"/>
        <v>85063.494123269556</v>
      </c>
      <c r="K32" s="438">
        <f t="shared" si="31"/>
        <v>7.051082972598433</v>
      </c>
      <c r="L32" s="491">
        <f t="shared" si="60"/>
        <v>5602.8368732695526</v>
      </c>
      <c r="M32" s="344">
        <f t="shared" ref="M32:M33" si="66">H32*$O$26</f>
        <v>44170000.920794703</v>
      </c>
      <c r="N32" s="302" t="s">
        <v>4134</v>
      </c>
      <c r="O32" s="522">
        <v>2003</v>
      </c>
      <c r="U32" t="s">
        <v>25</v>
      </c>
    </row>
    <row r="33" spans="1:22" ht="21">
      <c r="A33" s="571" t="s">
        <v>7039</v>
      </c>
      <c r="B33" s="225" t="s">
        <v>4134</v>
      </c>
      <c r="C33" s="224">
        <v>2096</v>
      </c>
      <c r="D33" s="301">
        <f>25029.42*G33/26</f>
        <v>25029.42</v>
      </c>
      <c r="E33" s="566" t="s">
        <v>7027</v>
      </c>
      <c r="F33" s="555">
        <v>8.74</v>
      </c>
      <c r="G33" s="382">
        <v>26</v>
      </c>
      <c r="H33" s="573">
        <f>C33*D33*0.9912/G33</f>
        <v>2000000.0643839997</v>
      </c>
      <c r="I33" s="544">
        <f t="shared" ref="I33" si="67">(F33+G33)*H33</f>
        <v>69480002.236700147</v>
      </c>
      <c r="J33" s="437">
        <f t="shared" si="63"/>
        <v>27598.217013359896</v>
      </c>
      <c r="K33" s="481">
        <f t="shared" si="31"/>
        <v>10.263110425091343</v>
      </c>
      <c r="L33" s="491">
        <f t="shared" si="60"/>
        <v>2568.7970133598974</v>
      </c>
      <c r="M33" s="344">
        <f t="shared" si="66"/>
        <v>14000000.450687997</v>
      </c>
      <c r="N33" s="303" t="s">
        <v>5139</v>
      </c>
      <c r="O33" s="540">
        <f>P33*(1+P3)</f>
        <v>833.75581395348831</v>
      </c>
      <c r="P33" s="540">
        <v>771</v>
      </c>
      <c r="Q33" s="549"/>
      <c r="R33" s="549"/>
      <c r="S33" s="549"/>
    </row>
    <row r="34" spans="1:22" ht="21">
      <c r="A34" s="571" t="s">
        <v>7039</v>
      </c>
      <c r="B34" s="225" t="s">
        <v>4134</v>
      </c>
      <c r="C34" s="224">
        <v>2096</v>
      </c>
      <c r="D34" s="301">
        <f>118852.2*G34/26</f>
        <v>123423.43846153846</v>
      </c>
      <c r="E34" s="568" t="s">
        <v>7028</v>
      </c>
      <c r="F34" s="344">
        <v>11.75</v>
      </c>
      <c r="G34" s="333">
        <v>27</v>
      </c>
      <c r="H34" s="574">
        <f t="shared" ref="H34" si="68">C34*D34*0.9912/G34</f>
        <v>9497000.2362092305</v>
      </c>
      <c r="I34" s="544">
        <f t="shared" ref="I34" si="69">(F34+G34)*H34</f>
        <v>368008759.1531077</v>
      </c>
      <c r="J34" s="437">
        <f t="shared" ref="J34:J41" si="70">(I34-H34*$O$25)/($O$32*1.003631981)</f>
        <v>126373.14510242965</v>
      </c>
      <c r="K34" s="438">
        <f t="shared" si="31"/>
        <v>2.389908009093741</v>
      </c>
      <c r="L34" s="491">
        <f t="shared" si="60"/>
        <v>2949.7066408911924</v>
      </c>
      <c r="M34" s="344">
        <f>H34*$O$25</f>
        <v>113964002.83451077</v>
      </c>
      <c r="N34" s="311" t="s">
        <v>4542</v>
      </c>
      <c r="O34" s="311">
        <v>440</v>
      </c>
      <c r="P34" s="549">
        <f>(O34*2085+(O34-100)*512)/2000</f>
        <v>545.74</v>
      </c>
      <c r="Q34" s="549"/>
      <c r="R34" s="549"/>
      <c r="S34" s="549"/>
    </row>
    <row r="35" spans="1:22" ht="21">
      <c r="A35" s="229" t="s">
        <v>7049</v>
      </c>
      <c r="B35" s="225" t="s">
        <v>4134</v>
      </c>
      <c r="C35" s="224">
        <v>2100</v>
      </c>
      <c r="D35" s="301">
        <f>274.8*G35/26</f>
        <v>285.3692307692308</v>
      </c>
      <c r="E35" s="568" t="s">
        <v>7028</v>
      </c>
      <c r="F35" s="344">
        <v>11.5</v>
      </c>
      <c r="G35" s="333">
        <v>27</v>
      </c>
      <c r="H35" s="574">
        <f t="shared" ref="H35" si="71">C35*D35*0.9912/G35</f>
        <v>22000.065230769229</v>
      </c>
      <c r="I35" s="544">
        <f t="shared" ref="I35" si="72">(F35+G35)*H35</f>
        <v>847002.51138461533</v>
      </c>
      <c r="J35" s="437">
        <f t="shared" si="70"/>
        <v>290.01095363244855</v>
      </c>
      <c r="K35" s="438">
        <f t="shared" si="31"/>
        <v>1.6265673950571664</v>
      </c>
      <c r="L35" s="491">
        <f t="shared" si="60"/>
        <v>4.6417228632177512</v>
      </c>
      <c r="M35" s="344">
        <f t="shared" ref="M35:M41" si="73">H35*$O$25</f>
        <v>264000.78276923078</v>
      </c>
      <c r="N35" s="312" t="s">
        <v>5592</v>
      </c>
      <c r="O35" s="312">
        <v>1867</v>
      </c>
      <c r="P35" s="549"/>
      <c r="Q35" s="549" t="s">
        <v>5281</v>
      </c>
      <c r="R35" s="549" t="s">
        <v>690</v>
      </c>
      <c r="S35" s="397" t="s">
        <v>1005</v>
      </c>
    </row>
    <row r="36" spans="1:22" ht="21">
      <c r="A36" s="571" t="s">
        <v>7048</v>
      </c>
      <c r="B36" s="225" t="s">
        <v>4134</v>
      </c>
      <c r="C36" s="224">
        <v>2133.6999999999998</v>
      </c>
      <c r="D36" s="301">
        <f>16399.65*G36/26</f>
        <v>17030.405769230772</v>
      </c>
      <c r="E36" s="568" t="s">
        <v>7028</v>
      </c>
      <c r="F36" s="344">
        <v>10.050000000000001</v>
      </c>
      <c r="G36" s="333">
        <v>27</v>
      </c>
      <c r="H36" s="574">
        <f t="shared" ref="H36" si="74">C36*D36*0.9912/G36</f>
        <v>1334000.1612613851</v>
      </c>
      <c r="I36" s="544">
        <f t="shared" ref="I36" si="75">(F36+G36)*H36</f>
        <v>49424705.974734314</v>
      </c>
      <c r="J36" s="437">
        <f t="shared" si="70"/>
        <v>16622.952780591957</v>
      </c>
      <c r="K36" s="438">
        <f t="shared" si="31"/>
        <v>-2.3925031156625178</v>
      </c>
      <c r="L36" s="491">
        <f t="shared" si="60"/>
        <v>-407.45298863881544</v>
      </c>
      <c r="M36" s="344">
        <f t="shared" si="73"/>
        <v>16008001.93513662</v>
      </c>
      <c r="N36" s="312" t="s">
        <v>6808</v>
      </c>
      <c r="O36" s="312">
        <v>18670</v>
      </c>
      <c r="P36" s="549"/>
      <c r="Q36" s="301">
        <v>2512</v>
      </c>
      <c r="R36" s="301">
        <v>502564</v>
      </c>
      <c r="S36" s="199"/>
      <c r="T36" s="549" t="s">
        <v>4542</v>
      </c>
    </row>
    <row r="37" spans="1:22" ht="23.25">
      <c r="A37" s="580" t="s">
        <v>7050</v>
      </c>
      <c r="B37" s="225" t="s">
        <v>4134</v>
      </c>
      <c r="C37" s="224">
        <v>2126.1</v>
      </c>
      <c r="D37" s="301">
        <f>73740.49*G37/28</f>
        <v>71106.901071428583</v>
      </c>
      <c r="E37" s="568" t="s">
        <v>7028</v>
      </c>
      <c r="F37" s="344">
        <v>10.15</v>
      </c>
      <c r="G37" s="333">
        <v>27</v>
      </c>
      <c r="H37" s="574">
        <f t="shared" ref="H37" si="76">C37*D37*0.9912/G37</f>
        <v>5549999.8149306001</v>
      </c>
      <c r="I37" s="544">
        <f t="shared" ref="I37" si="77">(F37+G37)*H37</f>
        <v>206182493.12467179</v>
      </c>
      <c r="J37" s="437">
        <f t="shared" si="70"/>
        <v>69434.532692873356</v>
      </c>
      <c r="K37" s="438">
        <f t="shared" si="31"/>
        <v>-2.3519072739160625</v>
      </c>
      <c r="L37" s="491">
        <f t="shared" si="60"/>
        <v>-1672.3683785552275</v>
      </c>
      <c r="M37" s="344">
        <f t="shared" si="73"/>
        <v>66599997.779167205</v>
      </c>
      <c r="N37" s="310" t="s">
        <v>6825</v>
      </c>
      <c r="O37" s="523">
        <v>14635</v>
      </c>
      <c r="P37" s="549"/>
      <c r="Q37" s="301">
        <v>6582</v>
      </c>
      <c r="R37" s="301">
        <v>0</v>
      </c>
      <c r="S37" s="199"/>
      <c r="T37" s="549" t="s">
        <v>4716</v>
      </c>
    </row>
    <row r="38" spans="1:22" ht="21">
      <c r="A38" s="580" t="s">
        <v>7058</v>
      </c>
      <c r="B38" s="225" t="s">
        <v>4134</v>
      </c>
      <c r="C38" s="224">
        <v>2126</v>
      </c>
      <c r="D38" s="301">
        <f>653.44*G38/27</f>
        <v>653.44000000000005</v>
      </c>
      <c r="E38" s="568" t="s">
        <v>7028</v>
      </c>
      <c r="F38" s="344">
        <v>10.5</v>
      </c>
      <c r="G38" s="333">
        <v>27</v>
      </c>
      <c r="H38" s="574">
        <f t="shared" ref="H38" si="78">C38*D38*0.9912/G38</f>
        <v>50999.568952888898</v>
      </c>
      <c r="I38" s="544">
        <f t="shared" ref="I38" si="79">(F38+G38)*H38</f>
        <v>1912483.8357333336</v>
      </c>
      <c r="J38" s="437">
        <f t="shared" si="70"/>
        <v>646.9209934950801</v>
      </c>
      <c r="K38" s="438">
        <f t="shared" ref="K38" si="80">(J38-D38)*100/D38</f>
        <v>-0.99764423740817165</v>
      </c>
      <c r="L38" s="491">
        <f t="shared" ref="L38" si="81">D38*K38/100</f>
        <v>-6.5190065049199575</v>
      </c>
      <c r="M38" s="344">
        <f t="shared" si="73"/>
        <v>611994.8274346668</v>
      </c>
      <c r="N38" s="312" t="s">
        <v>4716</v>
      </c>
      <c r="O38" s="312">
        <v>16398</v>
      </c>
      <c r="P38" s="549"/>
      <c r="Q38" s="301">
        <v>818296</v>
      </c>
      <c r="R38" s="301">
        <v>4203986</v>
      </c>
      <c r="S38" s="199">
        <v>508182</v>
      </c>
      <c r="T38" s="549" t="s">
        <v>4134</v>
      </c>
      <c r="U38" s="355"/>
      <c r="V38" s="453"/>
    </row>
    <row r="39" spans="1:22" ht="21">
      <c r="A39" s="580" t="s">
        <v>7060</v>
      </c>
      <c r="B39" s="225" t="s">
        <v>4134</v>
      </c>
      <c r="C39" s="224">
        <v>2126</v>
      </c>
      <c r="D39" s="301">
        <f>1537.52*G39/27</f>
        <v>1537.52</v>
      </c>
      <c r="E39" s="568" t="s">
        <v>7028</v>
      </c>
      <c r="F39" s="344">
        <v>10.6</v>
      </c>
      <c r="G39" s="333">
        <v>27</v>
      </c>
      <c r="H39" s="574">
        <f t="shared" ref="H39" si="82">C39*D39*0.9912/G39</f>
        <v>120000.0876231111</v>
      </c>
      <c r="I39" s="544">
        <f t="shared" ref="I39" si="83">(F39+G39)*H39</f>
        <v>4512003.2946289778</v>
      </c>
      <c r="J39" s="437">
        <f t="shared" ref="J39" si="84">(I39-H39*$O$25)/($O$32*1.003631981)</f>
        <v>1528.150357655594</v>
      </c>
      <c r="K39" s="438">
        <f t="shared" ref="K39" si="85">(J39-D39)*100/D39</f>
        <v>-0.60939970500585194</v>
      </c>
      <c r="L39" s="491">
        <f t="shared" ref="L39" si="86">D39*K39/100</f>
        <v>-9.3696423444059747</v>
      </c>
      <c r="M39" s="344">
        <f t="shared" si="73"/>
        <v>1440001.0514773333</v>
      </c>
      <c r="N39" s="312" t="s">
        <v>6828</v>
      </c>
      <c r="O39" s="312">
        <v>15500</v>
      </c>
      <c r="P39" s="549"/>
      <c r="Q39" s="301"/>
      <c r="R39" s="301"/>
      <c r="S39" s="199"/>
      <c r="U39" s="355"/>
      <c r="V39" s="453"/>
    </row>
    <row r="40" spans="1:22" ht="18.75">
      <c r="A40" s="580" t="s">
        <v>7069</v>
      </c>
      <c r="B40" s="225" t="s">
        <v>4134</v>
      </c>
      <c r="C40" s="224">
        <v>2126</v>
      </c>
      <c r="D40" s="301">
        <f>4586.93*G40/27</f>
        <v>4586.93</v>
      </c>
      <c r="E40" s="568" t="s">
        <v>7028</v>
      </c>
      <c r="F40" s="344">
        <v>11.2</v>
      </c>
      <c r="G40" s="333">
        <v>27</v>
      </c>
      <c r="H40" s="574">
        <f t="shared" ref="H40" si="87">C40*D40*0.9912/G40</f>
        <v>357999.89718577778</v>
      </c>
      <c r="I40" s="544">
        <f t="shared" ref="I40" si="88">(F40+G40)*H40</f>
        <v>13675596.072496712</v>
      </c>
      <c r="J40" s="437">
        <f t="shared" ref="J40" si="89">(I40-H40*$O$25)/($O$32*1.003631981)</f>
        <v>4665.828291691907</v>
      </c>
      <c r="K40" s="438">
        <f t="shared" ref="K40" si="90">(J40-D40)*100/D40</f>
        <v>1.7200674894080943</v>
      </c>
      <c r="L40" s="491">
        <f t="shared" ref="L40" si="91">D40*K40/100</f>
        <v>78.898291691906707</v>
      </c>
      <c r="M40" s="344">
        <f t="shared" ref="M40" si="92">H40*$O$25</f>
        <v>4295998.7662293334</v>
      </c>
      <c r="Q40" s="301">
        <v>706000</v>
      </c>
      <c r="R40" s="301">
        <v>3915000</v>
      </c>
      <c r="S40" s="199">
        <v>414637</v>
      </c>
      <c r="U40" s="355"/>
      <c r="V40" s="453"/>
    </row>
    <row r="41" spans="1:22" ht="18.75" customHeight="1">
      <c r="A41" s="229" t="s">
        <v>7050</v>
      </c>
      <c r="B41" s="225" t="s">
        <v>4134</v>
      </c>
      <c r="C41" s="224">
        <v>2134</v>
      </c>
      <c r="D41" s="301">
        <f>1323.74*G41/28</f>
        <v>1276.4635714285716</v>
      </c>
      <c r="E41" s="568" t="s">
        <v>7028</v>
      </c>
      <c r="F41" s="344">
        <v>10.42</v>
      </c>
      <c r="G41" s="333">
        <v>27</v>
      </c>
      <c r="H41" s="574">
        <f t="shared" ref="H41" si="93">C41*D41*0.9912/G41</f>
        <v>100000.085064</v>
      </c>
      <c r="I41" s="544">
        <f t="shared" ref="I41" si="94">(F41+G41)*H41</f>
        <v>3742003.1830948801</v>
      </c>
      <c r="J41" s="437">
        <f t="shared" si="70"/>
        <v>1264.504777683966</v>
      </c>
      <c r="K41" s="438">
        <f t="shared" si="31"/>
        <v>-0.93686917608010956</v>
      </c>
      <c r="L41" s="491">
        <f t="shared" si="60"/>
        <v>-11.9587937446056</v>
      </c>
      <c r="M41" s="344">
        <f t="shared" si="73"/>
        <v>1200001.020768</v>
      </c>
      <c r="Q41" s="355">
        <f t="shared" ref="Q41:R41" si="95">Q38-Q40</f>
        <v>112296</v>
      </c>
      <c r="R41" s="355">
        <f t="shared" si="95"/>
        <v>288986</v>
      </c>
      <c r="S41" s="355">
        <f>S38-S40</f>
        <v>93545</v>
      </c>
      <c r="T41" s="355"/>
      <c r="U41" s="355"/>
      <c r="V41" s="453"/>
    </row>
    <row r="42" spans="1:22" ht="21.75" customHeight="1">
      <c r="A42" s="229" t="s">
        <v>7032</v>
      </c>
      <c r="B42" s="225" t="s">
        <v>4134</v>
      </c>
      <c r="C42" s="224">
        <v>1818</v>
      </c>
      <c r="D42" s="301">
        <f>1997.78*G42/24</f>
        <v>2247.5025000000001</v>
      </c>
      <c r="E42" s="556" t="s">
        <v>7029</v>
      </c>
      <c r="F42" s="557">
        <v>30.4</v>
      </c>
      <c r="G42" s="558">
        <v>27</v>
      </c>
      <c r="H42" s="301">
        <f t="shared" ref="H42:H56" si="96">C42*D42*0.9912/G42</f>
        <v>150000.114852</v>
      </c>
      <c r="I42" s="544">
        <f t="shared" si="59"/>
        <v>8610006.5925047994</v>
      </c>
      <c r="J42" s="437">
        <f t="shared" ref="J42:J47" si="97">(I42-H42*$O$24)/($O$32*1.003631981)</f>
        <v>3163.7488996070069</v>
      </c>
      <c r="K42" s="438">
        <f t="shared" si="31"/>
        <v>40.767313923210622</v>
      </c>
      <c r="L42" s="491">
        <f t="shared" si="60"/>
        <v>916.24639960700688</v>
      </c>
      <c r="M42" s="344">
        <f>H42*$O$24</f>
        <v>2250001.72278</v>
      </c>
      <c r="N42" s="550" t="s">
        <v>25</v>
      </c>
      <c r="O42" s="550"/>
      <c r="P42" s="301">
        <f>Q38+R38+S38-R40-Q40-S40</f>
        <v>494827</v>
      </c>
      <c r="Q42" s="301">
        <f>SUM(J22:J67)</f>
        <v>624254.27687045769</v>
      </c>
      <c r="R42" s="355"/>
      <c r="V42" s="453"/>
    </row>
    <row r="43" spans="1:22" ht="18.75">
      <c r="A43" s="229" t="s">
        <v>7034</v>
      </c>
      <c r="B43" s="225" t="s">
        <v>4134</v>
      </c>
      <c r="C43" s="224">
        <v>1806</v>
      </c>
      <c r="D43" s="301">
        <f>268.141*G43/24</f>
        <v>301.65862500000003</v>
      </c>
      <c r="E43" s="556" t="s">
        <v>7029</v>
      </c>
      <c r="F43" s="557">
        <v>28</v>
      </c>
      <c r="G43" s="558">
        <v>27</v>
      </c>
      <c r="H43" s="301">
        <f t="shared" ref="H43" si="98">C43*D43*0.9912/G43</f>
        <v>20000.047279800001</v>
      </c>
      <c r="I43" s="544">
        <f t="shared" ref="I43" si="99">(F43+G43)*H43</f>
        <v>1100002.600389</v>
      </c>
      <c r="J43" s="437">
        <f t="shared" si="97"/>
        <v>397.95647248486029</v>
      </c>
      <c r="K43" s="438">
        <f t="shared" si="31"/>
        <v>31.9227893732063</v>
      </c>
      <c r="L43" s="491">
        <f t="shared" si="60"/>
        <v>96.297847484860256</v>
      </c>
      <c r="M43" s="344">
        <f t="shared" ref="M43:M48" si="100">H43*$O$24</f>
        <v>300000.70919700002</v>
      </c>
      <c r="N43" s="550"/>
      <c r="O43" s="550"/>
      <c r="P43" s="301"/>
      <c r="Q43" s="301">
        <f>P42-Q42</f>
        <v>-129427.27687045769</v>
      </c>
      <c r="R43" s="355"/>
      <c r="S43" s="355"/>
      <c r="V43" s="453" t="s">
        <v>25</v>
      </c>
    </row>
    <row r="44" spans="1:22" ht="18.75" customHeight="1">
      <c r="A44" s="229" t="s">
        <v>7036</v>
      </c>
      <c r="B44" s="225" t="s">
        <v>4134</v>
      </c>
      <c r="C44" s="224">
        <v>1870</v>
      </c>
      <c r="D44" s="301">
        <f>51.79*G44/24</f>
        <v>58.263749999999995</v>
      </c>
      <c r="E44" s="556" t="s">
        <v>7029</v>
      </c>
      <c r="F44" s="557">
        <v>20</v>
      </c>
      <c r="G44" s="558">
        <v>27</v>
      </c>
      <c r="H44" s="301">
        <f t="shared" ref="H44:H45" si="101">C44*D44*0.9912/G44</f>
        <v>3999.7934899999996</v>
      </c>
      <c r="I44" s="544">
        <f t="shared" ref="I44" si="102">(F44+G44)*H44</f>
        <v>187990.29402999999</v>
      </c>
      <c r="J44" s="437">
        <f t="shared" si="97"/>
        <v>63.669597803639824</v>
      </c>
      <c r="K44" s="438">
        <f t="shared" si="31"/>
        <v>9.2782352726005968</v>
      </c>
      <c r="L44" s="491">
        <f t="shared" si="60"/>
        <v>5.4058478036398299</v>
      </c>
      <c r="M44" s="344">
        <f t="shared" si="100"/>
        <v>59996.902349999997</v>
      </c>
      <c r="N44" s="550" t="s">
        <v>25</v>
      </c>
      <c r="O44" s="550"/>
      <c r="P44" s="550"/>
      <c r="Q44" s="550"/>
      <c r="R44" s="355"/>
      <c r="S44" s="355"/>
      <c r="V44" s="453"/>
    </row>
    <row r="45" spans="1:22" ht="20.25" customHeight="1">
      <c r="A45" s="229" t="s">
        <v>7038</v>
      </c>
      <c r="B45" s="225" t="s">
        <v>4134</v>
      </c>
      <c r="C45" s="224">
        <v>2083</v>
      </c>
      <c r="D45" s="301">
        <f>895.06*G45/24</f>
        <v>1006.9425</v>
      </c>
      <c r="E45" s="556" t="s">
        <v>7029</v>
      </c>
      <c r="F45" s="557">
        <v>17.399999999999999</v>
      </c>
      <c r="G45" s="558">
        <v>27</v>
      </c>
      <c r="H45" s="301">
        <f t="shared" si="101"/>
        <v>77000.132173999998</v>
      </c>
      <c r="I45" s="544">
        <f>(F45+G45)*H45</f>
        <v>3418805.8685255996</v>
      </c>
      <c r="J45" s="437">
        <f t="shared" si="97"/>
        <v>1126.1165989172353</v>
      </c>
      <c r="K45" s="438">
        <f t="shared" si="31"/>
        <v>11.835243712251222</v>
      </c>
      <c r="L45" s="491">
        <f t="shared" si="60"/>
        <v>119.17409891723526</v>
      </c>
      <c r="M45" s="344">
        <f t="shared" si="100"/>
        <v>1155001.9826100001</v>
      </c>
      <c r="N45" s="550"/>
      <c r="O45" s="550" t="s">
        <v>25</v>
      </c>
      <c r="P45" s="1">
        <f>SUM(M22:M67)</f>
        <v>511065008.73279321</v>
      </c>
      <c r="Q45" s="354" t="s">
        <v>7061</v>
      </c>
      <c r="R45" s="355"/>
      <c r="S45" s="355"/>
      <c r="T45" s="335"/>
      <c r="V45" s="453"/>
    </row>
    <row r="46" spans="1:22" ht="18.75">
      <c r="A46" s="571" t="s">
        <v>7039</v>
      </c>
      <c r="B46" s="225" t="s">
        <v>4134</v>
      </c>
      <c r="C46" s="224">
        <v>2096</v>
      </c>
      <c r="D46" s="301">
        <f>135646.94*G46/26</f>
        <v>140864.13</v>
      </c>
      <c r="E46" s="556" t="s">
        <v>7029</v>
      </c>
      <c r="F46" s="557">
        <v>15</v>
      </c>
      <c r="G46" s="558">
        <v>27</v>
      </c>
      <c r="H46" s="301">
        <f t="shared" ref="H46" si="103">C46*D46*0.9912/G46</f>
        <v>10839000.213888001</v>
      </c>
      <c r="I46" s="544">
        <f>(F46+G46)*H46</f>
        <v>455238008.98329604</v>
      </c>
      <c r="J46" s="437">
        <f t="shared" si="97"/>
        <v>145578.60315401407</v>
      </c>
      <c r="K46" s="438">
        <f t="shared" si="31"/>
        <v>3.3468230372161201</v>
      </c>
      <c r="L46" s="491">
        <f t="shared" si="60"/>
        <v>4714.4731540140638</v>
      </c>
      <c r="M46" s="344">
        <f t="shared" si="100"/>
        <v>162585003.20832002</v>
      </c>
      <c r="N46" s="550"/>
      <c r="O46" s="550"/>
      <c r="P46" s="1">
        <f>'برنامه 5 ساله'!B4+'برنامه 5 ساله'!B10+'برنامه 5 ساله'!B14</f>
        <v>1809433109</v>
      </c>
      <c r="Q46" s="354" t="s">
        <v>7062</v>
      </c>
      <c r="R46" s="355"/>
      <c r="S46" s="355"/>
      <c r="T46" s="355"/>
      <c r="U46" s="355"/>
      <c r="V46" s="453"/>
    </row>
    <row r="47" spans="1:22" ht="18.75">
      <c r="A47" s="571" t="s">
        <v>7048</v>
      </c>
      <c r="B47" s="225" t="s">
        <v>4134</v>
      </c>
      <c r="C47" s="224">
        <v>2133.6999999999998</v>
      </c>
      <c r="D47" s="301">
        <f>13043.5*G47/26</f>
        <v>13545.173076923076</v>
      </c>
      <c r="E47" s="556" t="s">
        <v>7029</v>
      </c>
      <c r="F47" s="557">
        <v>12</v>
      </c>
      <c r="G47" s="558">
        <v>27</v>
      </c>
      <c r="H47" s="301">
        <f t="shared" ref="H47" si="104">C47*D47*0.9912/G47</f>
        <v>1061000.1496015382</v>
      </c>
      <c r="I47" s="544">
        <f>(F47+G47)*H47</f>
        <v>41379005.83445999</v>
      </c>
      <c r="J47" s="437">
        <f t="shared" si="97"/>
        <v>12666.926360752868</v>
      </c>
      <c r="K47" s="438">
        <f t="shared" si="31"/>
        <v>-6.4838353203952606</v>
      </c>
      <c r="L47" s="491">
        <f t="shared" si="60"/>
        <v>-878.24671617020795</v>
      </c>
      <c r="M47" s="344">
        <f t="shared" si="100"/>
        <v>15915002.244023073</v>
      </c>
      <c r="N47" s="550" t="s">
        <v>25</v>
      </c>
      <c r="O47" s="550" t="s">
        <v>25</v>
      </c>
      <c r="P47" s="354"/>
      <c r="Q47" s="354"/>
      <c r="R47" s="355"/>
      <c r="S47" s="355"/>
      <c r="V47" s="453"/>
    </row>
    <row r="48" spans="1:22" ht="18.75">
      <c r="A48" s="580" t="s">
        <v>7060</v>
      </c>
      <c r="B48" s="225" t="s">
        <v>4134</v>
      </c>
      <c r="C48" s="224">
        <v>2126</v>
      </c>
      <c r="D48" s="301">
        <f>320.32*G48/27</f>
        <v>320.32</v>
      </c>
      <c r="E48" s="556" t="s">
        <v>7029</v>
      </c>
      <c r="F48" s="557">
        <v>18</v>
      </c>
      <c r="G48" s="558">
        <v>27</v>
      </c>
      <c r="H48" s="301">
        <f t="shared" ref="H48" si="105">C48*D48*0.9912/G48</f>
        <v>25000.278414222219</v>
      </c>
      <c r="I48" s="544">
        <f>(F48+G48)*H48</f>
        <v>1125012.5286399999</v>
      </c>
      <c r="J48" s="437">
        <f t="shared" ref="J48" si="106">(I48-H48*$O$24)/($O$32*1.003631981)</f>
        <v>373.08746585733434</v>
      </c>
      <c r="K48" s="438">
        <f t="shared" ref="K48" si="107">(J48-D48)*100/D48</f>
        <v>16.473359720696287</v>
      </c>
      <c r="L48" s="491">
        <f t="shared" ref="L48" si="108">D48*K48/100</f>
        <v>52.767465857334344</v>
      </c>
      <c r="M48" s="344">
        <f t="shared" si="100"/>
        <v>375004.17621333327</v>
      </c>
      <c r="N48" s="541"/>
      <c r="O48" s="541" t="s">
        <v>25</v>
      </c>
      <c r="P48" s="1">
        <f>P46-P45</f>
        <v>1298368100.2672067</v>
      </c>
      <c r="Q48" s="354" t="s">
        <v>7063</v>
      </c>
      <c r="R48" s="355"/>
      <c r="S48" s="355"/>
      <c r="V48" s="453"/>
    </row>
    <row r="49" spans="1:33" ht="18.75">
      <c r="A49" s="229" t="s">
        <v>7032</v>
      </c>
      <c r="B49" s="225" t="s">
        <v>4134</v>
      </c>
      <c r="C49" s="224">
        <v>1818</v>
      </c>
      <c r="D49" s="301">
        <f>1598.223*G49/24</f>
        <v>1798.000875</v>
      </c>
      <c r="E49" s="339" t="s">
        <v>7030</v>
      </c>
      <c r="F49" s="468">
        <v>39</v>
      </c>
      <c r="G49" s="329">
        <v>27</v>
      </c>
      <c r="H49" s="301">
        <f t="shared" si="96"/>
        <v>120000.0167982</v>
      </c>
      <c r="I49" s="544">
        <f t="shared" si="59"/>
        <v>7920001.1086812001</v>
      </c>
      <c r="J49" s="437">
        <f t="shared" ref="J49:J55" si="109">(I49-H49*$O$23)/($O$32*1.003631981)</f>
        <v>2447.426862693073</v>
      </c>
      <c r="K49" s="438">
        <f t="shared" si="31"/>
        <v>36.119336576689541</v>
      </c>
      <c r="L49" s="491">
        <f t="shared" si="60"/>
        <v>649.42598769307301</v>
      </c>
      <c r="M49" s="344">
        <f>H49*$O$23</f>
        <v>3000000.4199549998</v>
      </c>
      <c r="N49" s="564"/>
      <c r="O49" s="564" t="s">
        <v>25</v>
      </c>
      <c r="P49" s="354">
        <f>P48/(O32*1.003631981)</f>
        <v>645865.95964083879</v>
      </c>
      <c r="Q49" s="354" t="s">
        <v>7026</v>
      </c>
      <c r="R49" s="355"/>
      <c r="S49" s="355"/>
    </row>
    <row r="50" spans="1:33" ht="25.5" customHeight="1">
      <c r="A50" s="229" t="s">
        <v>7034</v>
      </c>
      <c r="B50" s="225" t="s">
        <v>4134</v>
      </c>
      <c r="C50" s="224">
        <v>1806</v>
      </c>
      <c r="D50" s="301">
        <f>268.141*G50/24</f>
        <v>301.65862500000003</v>
      </c>
      <c r="E50" s="339" t="s">
        <v>7030</v>
      </c>
      <c r="F50" s="468">
        <v>36</v>
      </c>
      <c r="G50" s="329">
        <v>27</v>
      </c>
      <c r="H50" s="301">
        <f t="shared" ref="H50:H52" si="110">C50*D50*0.9912/G50</f>
        <v>20000.047279800001</v>
      </c>
      <c r="I50" s="544">
        <f t="shared" ref="I50:I52" si="111">(F50+G50)*H50</f>
        <v>1260002.9786274</v>
      </c>
      <c r="J50" s="437">
        <f t="shared" si="109"/>
        <v>378.05864886061732</v>
      </c>
      <c r="K50" s="438">
        <f t="shared" si="31"/>
        <v>25.326649904546002</v>
      </c>
      <c r="L50" s="491">
        <f t="shared" si="60"/>
        <v>76.400023860617296</v>
      </c>
      <c r="M50" s="344">
        <f t="shared" ref="M50:M55" si="112">H50*$O$23</f>
        <v>500001.18199500005</v>
      </c>
      <c r="N50" s="564"/>
      <c r="O50" s="564"/>
      <c r="P50" s="370">
        <f>P49-P42</f>
        <v>151038.95964083879</v>
      </c>
      <c r="Q50" s="354" t="s">
        <v>7064</v>
      </c>
      <c r="R50" s="355"/>
      <c r="S50" s="355"/>
    </row>
    <row r="51" spans="1:33" ht="18.75">
      <c r="A51" s="229" t="s">
        <v>7036</v>
      </c>
      <c r="B51" s="225" t="s">
        <v>4134</v>
      </c>
      <c r="C51" s="224">
        <v>1870</v>
      </c>
      <c r="D51" s="301">
        <f>233.065*G51/24</f>
        <v>262.198125</v>
      </c>
      <c r="E51" s="339" t="s">
        <v>7030</v>
      </c>
      <c r="F51" s="468">
        <v>27</v>
      </c>
      <c r="G51" s="329">
        <v>27</v>
      </c>
      <c r="H51" s="301">
        <f t="shared" si="110"/>
        <v>17999.843014999999</v>
      </c>
      <c r="I51" s="544">
        <f t="shared" si="111"/>
        <v>971991.52280999988</v>
      </c>
      <c r="J51" s="437">
        <f t="shared" si="109"/>
        <v>259.66371980054913</v>
      </c>
      <c r="K51" s="438">
        <f t="shared" si="31"/>
        <v>-0.96659928420574059</v>
      </c>
      <c r="L51" s="491">
        <f t="shared" si="60"/>
        <v>-2.5344051994508727</v>
      </c>
      <c r="M51" s="344">
        <f t="shared" si="112"/>
        <v>449996.07537499996</v>
      </c>
      <c r="N51" s="570"/>
      <c r="O51" s="570" t="s">
        <v>25</v>
      </c>
      <c r="P51" s="570"/>
      <c r="Q51" s="570"/>
      <c r="R51" s="355"/>
      <c r="S51" s="355" t="s">
        <v>25</v>
      </c>
    </row>
    <row r="52" spans="1:33" ht="23.25" customHeight="1">
      <c r="A52" s="229" t="s">
        <v>7038</v>
      </c>
      <c r="B52" s="225" t="s">
        <v>4134</v>
      </c>
      <c r="C52" s="224">
        <v>2083</v>
      </c>
      <c r="D52" s="301">
        <f>476.59*G52/24</f>
        <v>536.16374999999994</v>
      </c>
      <c r="E52" s="339" t="s">
        <v>7030</v>
      </c>
      <c r="F52" s="468">
        <v>23.7</v>
      </c>
      <c r="G52" s="329">
        <v>27</v>
      </c>
      <c r="H52" s="301">
        <f t="shared" si="110"/>
        <v>41000.036860999993</v>
      </c>
      <c r="I52" s="544">
        <f t="shared" si="111"/>
        <v>2078701.8688526999</v>
      </c>
      <c r="J52" s="437">
        <f t="shared" si="109"/>
        <v>524.15765096216353</v>
      </c>
      <c r="K52" s="438">
        <f t="shared" si="31"/>
        <v>-2.2392597481341117</v>
      </c>
      <c r="L52" s="491">
        <f t="shared" si="60"/>
        <v>-12.006099037836407</v>
      </c>
      <c r="M52" s="344">
        <f t="shared" si="112"/>
        <v>1025000.9215249998</v>
      </c>
      <c r="N52" s="570"/>
      <c r="O52" s="570" t="s">
        <v>25</v>
      </c>
      <c r="P52" s="570"/>
      <c r="Q52" s="570"/>
      <c r="R52" s="355"/>
      <c r="S52" s="355"/>
    </row>
    <row r="53" spans="1:33" ht="25.5" customHeight="1">
      <c r="A53" s="571" t="s">
        <v>7039</v>
      </c>
      <c r="B53" s="225" t="s">
        <v>4134</v>
      </c>
      <c r="C53" s="224">
        <v>2096</v>
      </c>
      <c r="D53" s="301">
        <f>825.97*G53/26</f>
        <v>857.73807692307696</v>
      </c>
      <c r="E53" s="339" t="s">
        <v>7030</v>
      </c>
      <c r="F53" s="468">
        <v>23.3</v>
      </c>
      <c r="G53" s="329">
        <v>27</v>
      </c>
      <c r="H53" s="301">
        <f t="shared" ref="H53" si="113">C53*D53*0.9912/G53</f>
        <v>65999.933405538453</v>
      </c>
      <c r="I53" s="544">
        <f t="shared" ref="I53" si="114">(F53+G53)*H53</f>
        <v>3319796.6502985838</v>
      </c>
      <c r="J53" s="437">
        <f t="shared" si="109"/>
        <v>830.63184547248034</v>
      </c>
      <c r="K53" s="438">
        <f t="shared" si="31"/>
        <v>-3.160199154016051</v>
      </c>
      <c r="L53" s="491">
        <f t="shared" si="60"/>
        <v>-27.106231450596624</v>
      </c>
      <c r="M53" s="344">
        <f t="shared" si="112"/>
        <v>1649998.3351384613</v>
      </c>
      <c r="N53" s="570"/>
      <c r="O53" s="570"/>
      <c r="P53" s="570"/>
      <c r="Q53" s="570"/>
      <c r="R53" s="355"/>
      <c r="S53" s="355"/>
    </row>
    <row r="54" spans="1:33" ht="18.75">
      <c r="A54" s="571" t="s">
        <v>7048</v>
      </c>
      <c r="B54" s="225" t="s">
        <v>4134</v>
      </c>
      <c r="C54" s="224">
        <v>2133.6999999999998</v>
      </c>
      <c r="D54" s="301">
        <f>282.75*G54/26</f>
        <v>293.625</v>
      </c>
      <c r="E54" s="339" t="s">
        <v>7030</v>
      </c>
      <c r="F54" s="468">
        <v>21.7</v>
      </c>
      <c r="G54" s="329">
        <v>27</v>
      </c>
      <c r="H54" s="301">
        <f t="shared" ref="H54" si="115">C54*D54*0.9912/G54</f>
        <v>22999.792409999998</v>
      </c>
      <c r="I54" s="544">
        <f t="shared" ref="I54" si="116">(F54+G54)*H54</f>
        <v>1120089.8903669999</v>
      </c>
      <c r="J54" s="437">
        <f t="shared" si="109"/>
        <v>271.15450305873333</v>
      </c>
      <c r="K54" s="438">
        <f t="shared" si="31"/>
        <v>-7.6527873788903102</v>
      </c>
      <c r="L54" s="491">
        <f t="shared" si="60"/>
        <v>-22.470496941266674</v>
      </c>
      <c r="M54" s="344">
        <f t="shared" si="112"/>
        <v>574994.81024999998</v>
      </c>
      <c r="N54" s="570"/>
      <c r="O54" s="570" t="s">
        <v>25</v>
      </c>
      <c r="P54" s="570"/>
      <c r="Q54" s="570"/>
      <c r="R54" s="355"/>
      <c r="S54" s="355"/>
    </row>
    <row r="55" spans="1:33" ht="18.75">
      <c r="A55" s="229" t="s">
        <v>7048</v>
      </c>
      <c r="B55" s="225" t="s">
        <v>4134</v>
      </c>
      <c r="C55" s="224">
        <v>2133.6999999999998</v>
      </c>
      <c r="D55" s="301">
        <f>1327.71*G55/26</f>
        <v>1378.7757692307691</v>
      </c>
      <c r="E55" s="339" t="s">
        <v>7030</v>
      </c>
      <c r="F55" s="468">
        <v>23</v>
      </c>
      <c r="G55" s="329">
        <v>27</v>
      </c>
      <c r="H55" s="301">
        <f t="shared" ref="H55" si="117">C55*D55*0.9912/G55</f>
        <v>108000.19232778459</v>
      </c>
      <c r="I55" s="544">
        <f t="shared" ref="I55" si="118">(F55+G55)*H55</f>
        <v>5400009.6163892299</v>
      </c>
      <c r="J55" s="437">
        <f t="shared" si="109"/>
        <v>1343.1023113711803</v>
      </c>
      <c r="K55" s="438">
        <f t="shared" si="31"/>
        <v>-2.5873284587450582</v>
      </c>
      <c r="L55" s="491">
        <f t="shared" si="60"/>
        <v>-35.67345785958878</v>
      </c>
      <c r="M55" s="344">
        <f t="shared" si="112"/>
        <v>2700004.8081946149</v>
      </c>
      <c r="N55" s="570"/>
      <c r="O55" s="570"/>
      <c r="P55" s="570"/>
      <c r="Q55" s="570"/>
      <c r="R55" s="355"/>
      <c r="S55" s="355"/>
    </row>
    <row r="56" spans="1:33" ht="21" customHeight="1">
      <c r="A56" s="229" t="s">
        <v>7032</v>
      </c>
      <c r="B56" s="225" t="s">
        <v>4134</v>
      </c>
      <c r="C56" s="224">
        <v>1818</v>
      </c>
      <c r="D56" s="301">
        <f>799.112*G56/24</f>
        <v>899.00099999999986</v>
      </c>
      <c r="E56" s="249" t="s">
        <v>7031</v>
      </c>
      <c r="F56" s="332">
        <v>45</v>
      </c>
      <c r="G56" s="317">
        <v>27</v>
      </c>
      <c r="H56" s="301">
        <f t="shared" si="96"/>
        <v>60000.045940799995</v>
      </c>
      <c r="I56" s="544">
        <f t="shared" si="59"/>
        <v>4320003.3077376001</v>
      </c>
      <c r="J56" s="437">
        <f t="shared" ref="J56:J61" si="119">(I56-H56*$O$22)/($O$32*1.003631981)</f>
        <v>1193.8675092856633</v>
      </c>
      <c r="K56" s="438">
        <f t="shared" si="31"/>
        <v>32.799352757745936</v>
      </c>
      <c r="L56" s="491">
        <f t="shared" si="60"/>
        <v>294.86650928566348</v>
      </c>
      <c r="M56" s="344">
        <f>H56*$O$22</f>
        <v>1920001.4701055998</v>
      </c>
      <c r="N56" s="570"/>
      <c r="O56" s="570"/>
      <c r="P56" s="570"/>
      <c r="Q56" s="570"/>
      <c r="R56" s="355"/>
      <c r="S56" s="355"/>
    </row>
    <row r="57" spans="1:33" ht="19.5" customHeight="1">
      <c r="A57" s="229" t="s">
        <v>7034</v>
      </c>
      <c r="B57" s="225" t="s">
        <v>4134</v>
      </c>
      <c r="C57" s="224">
        <v>1806</v>
      </c>
      <c r="D57" s="301">
        <f>201.106*G57/24</f>
        <v>226.24424999999999</v>
      </c>
      <c r="E57" s="249" t="s">
        <v>7031</v>
      </c>
      <c r="F57" s="332">
        <v>44</v>
      </c>
      <c r="G57" s="317">
        <v>27</v>
      </c>
      <c r="H57" s="301">
        <f t="shared" ref="H57:H64" si="120">C57*D57*0.9912/G57</f>
        <v>15000.0541068</v>
      </c>
      <c r="I57" s="544">
        <f t="shared" ref="I57:I64" si="121">(F57+G57)*H57</f>
        <v>1065003.8415828</v>
      </c>
      <c r="J57" s="437">
        <f t="shared" si="119"/>
        <v>291.00603226157807</v>
      </c>
      <c r="K57" s="438">
        <f t="shared" si="31"/>
        <v>28.624719638876158</v>
      </c>
      <c r="L57" s="491">
        <f t="shared" si="60"/>
        <v>64.761782261578077</v>
      </c>
      <c r="M57" s="344">
        <f t="shared" ref="M57:M61" si="122">H57*$O$22</f>
        <v>480001.73141760001</v>
      </c>
      <c r="N57" s="579"/>
      <c r="O57" s="579"/>
      <c r="P57" s="579"/>
      <c r="Q57" s="579"/>
      <c r="R57" s="355"/>
      <c r="S57" s="355"/>
      <c r="AC57" s="350"/>
      <c r="AD57" s="350"/>
      <c r="AE57" s="350"/>
      <c r="AF57" s="350"/>
      <c r="AG57" s="350"/>
    </row>
    <row r="58" spans="1:33" ht="20.25" customHeight="1">
      <c r="A58" s="229" t="s">
        <v>7038</v>
      </c>
      <c r="B58" s="225" t="s">
        <v>4134</v>
      </c>
      <c r="C58" s="224">
        <v>2083</v>
      </c>
      <c r="D58" s="301">
        <f>557.96*G58/24</f>
        <v>627.70500000000004</v>
      </c>
      <c r="E58" s="249" t="s">
        <v>7031</v>
      </c>
      <c r="F58" s="332">
        <v>31.6</v>
      </c>
      <c r="G58" s="317">
        <v>27</v>
      </c>
      <c r="H58" s="301">
        <f t="shared" si="120"/>
        <v>48000.127084</v>
      </c>
      <c r="I58" s="544">
        <f t="shared" si="121"/>
        <v>2812807.4471224002</v>
      </c>
      <c r="J58" s="437">
        <f t="shared" si="119"/>
        <v>635.13871020646422</v>
      </c>
      <c r="K58" s="438">
        <f t="shared" si="31"/>
        <v>1.1842681206082768</v>
      </c>
      <c r="L58" s="491">
        <f t="shared" si="60"/>
        <v>7.433710206464184</v>
      </c>
      <c r="M58" s="344">
        <f t="shared" si="122"/>
        <v>1536004.066688</v>
      </c>
      <c r="N58" s="579"/>
      <c r="O58" s="579"/>
      <c r="P58" s="579"/>
      <c r="Q58" s="579"/>
      <c r="R58" s="355"/>
      <c r="S58" s="355"/>
      <c r="Z58" s="453"/>
      <c r="AC58" s="350"/>
      <c r="AD58" s="350"/>
      <c r="AE58" s="350"/>
      <c r="AF58" s="350"/>
      <c r="AG58" s="350"/>
    </row>
    <row r="59" spans="1:33" ht="18.75">
      <c r="A59" s="571" t="s">
        <v>7039</v>
      </c>
      <c r="B59" s="225" t="s">
        <v>4134</v>
      </c>
      <c r="C59" s="224">
        <v>2096</v>
      </c>
      <c r="D59" s="301">
        <f>500.59*G59/26</f>
        <v>519.8434615384615</v>
      </c>
      <c r="E59" s="249" t="s">
        <v>7031</v>
      </c>
      <c r="F59" s="332">
        <v>30.2</v>
      </c>
      <c r="G59" s="317">
        <v>27</v>
      </c>
      <c r="H59" s="301">
        <f t="shared" ref="H59" si="123">C59*D59*0.9912/G59</f>
        <v>40000.129137230761</v>
      </c>
      <c r="I59" s="544">
        <f t="shared" ref="I59" si="124">(F59+G59)*H59</f>
        <v>2288007.3866495998</v>
      </c>
      <c r="J59" s="437">
        <f t="shared" si="119"/>
        <v>501.42558878224634</v>
      </c>
      <c r="K59" s="438">
        <f t="shared" si="31"/>
        <v>-3.5429651652649445</v>
      </c>
      <c r="L59" s="491">
        <f t="shared" si="60"/>
        <v>-18.417872756215161</v>
      </c>
      <c r="M59" s="344">
        <f t="shared" si="122"/>
        <v>1280004.1323913843</v>
      </c>
      <c r="N59" s="579"/>
      <c r="O59" s="579"/>
      <c r="P59" s="579"/>
      <c r="Q59" s="579"/>
      <c r="R59" s="355"/>
      <c r="S59" s="355"/>
      <c r="Z59" s="453"/>
      <c r="AC59" s="350"/>
      <c r="AD59" s="350"/>
      <c r="AE59" s="350"/>
      <c r="AF59" s="350"/>
      <c r="AG59" s="350"/>
    </row>
    <row r="60" spans="1:33" ht="18.75">
      <c r="A60" s="571" t="s">
        <v>7048</v>
      </c>
      <c r="B60" s="225" t="s">
        <v>4134</v>
      </c>
      <c r="C60" s="224">
        <v>2133.6999999999998</v>
      </c>
      <c r="D60" s="301">
        <f>122.94*G60/26</f>
        <v>127.66846153846154</v>
      </c>
      <c r="E60" s="249" t="s">
        <v>7031</v>
      </c>
      <c r="F60" s="332">
        <v>28</v>
      </c>
      <c r="G60" s="317">
        <v>27</v>
      </c>
      <c r="H60" s="301">
        <f t="shared" ref="H60" si="125">C60*D60*0.9912/G60</f>
        <v>10000.334142830769</v>
      </c>
      <c r="I60" s="544">
        <f t="shared" ref="I60" si="126">(F60+G60)*H60</f>
        <v>550018.37785569229</v>
      </c>
      <c r="J60" s="437">
        <f t="shared" si="119"/>
        <v>114.41603837221616</v>
      </c>
      <c r="K60" s="438">
        <f t="shared" si="31"/>
        <v>-10.380342182045437</v>
      </c>
      <c r="L60" s="491">
        <f t="shared" si="60"/>
        <v>-13.252423166245379</v>
      </c>
      <c r="M60" s="344">
        <f t="shared" si="122"/>
        <v>320010.69257058459</v>
      </c>
      <c r="N60" s="579" t="s">
        <v>25</v>
      </c>
      <c r="O60" s="579" t="s">
        <v>25</v>
      </c>
      <c r="P60" s="579"/>
      <c r="Q60" s="579"/>
      <c r="R60" s="355"/>
      <c r="S60" s="355"/>
      <c r="Z60" s="453"/>
      <c r="AC60" s="350"/>
      <c r="AD60" s="350"/>
      <c r="AE60" s="350"/>
      <c r="AF60" s="350"/>
      <c r="AG60" s="350"/>
    </row>
    <row r="61" spans="1:33" ht="18.75">
      <c r="A61" s="229" t="s">
        <v>7048</v>
      </c>
      <c r="B61" s="225" t="s">
        <v>4134</v>
      </c>
      <c r="C61" s="224">
        <v>2133.6999999999998</v>
      </c>
      <c r="D61" s="301">
        <f>1413.76*G61/26</f>
        <v>1468.1353846153845</v>
      </c>
      <c r="E61" s="249" t="s">
        <v>7031</v>
      </c>
      <c r="F61" s="332">
        <v>30</v>
      </c>
      <c r="G61" s="317">
        <v>27</v>
      </c>
      <c r="H61" s="301">
        <f t="shared" ref="H61" si="127">C61*D61*0.9912/G61</f>
        <v>114999.7754820923</v>
      </c>
      <c r="I61" s="544">
        <f t="shared" ref="I61" si="128">(F61+G61)*H61</f>
        <v>6554987.202479261</v>
      </c>
      <c r="J61" s="437">
        <f t="shared" si="119"/>
        <v>1430.1498999963246</v>
      </c>
      <c r="K61" s="438">
        <f t="shared" si="31"/>
        <v>-2.5873284587450467</v>
      </c>
      <c r="L61" s="491">
        <f t="shared" si="60"/>
        <v>-37.985484619059889</v>
      </c>
      <c r="M61" s="344">
        <f t="shared" si="122"/>
        <v>3679992.8154269536</v>
      </c>
      <c r="N61" s="579"/>
      <c r="O61" s="579"/>
      <c r="P61" s="579"/>
      <c r="Q61" s="579"/>
      <c r="R61" s="355"/>
      <c r="S61" s="355"/>
      <c r="Z61" s="453"/>
      <c r="AC61" s="350"/>
      <c r="AD61" s="350"/>
      <c r="AE61" s="350"/>
      <c r="AF61" s="350"/>
      <c r="AG61" s="350"/>
    </row>
    <row r="62" spans="1:33" ht="24" customHeight="1">
      <c r="A62" s="580" t="s">
        <v>7069</v>
      </c>
      <c r="B62" s="225" t="s">
        <v>4134</v>
      </c>
      <c r="C62" s="224">
        <v>2126</v>
      </c>
      <c r="D62" s="301">
        <f>256.25*G62/27</f>
        <v>256.25</v>
      </c>
      <c r="E62" s="249" t="s">
        <v>7031</v>
      </c>
      <c r="F62" s="332">
        <v>30</v>
      </c>
      <c r="G62" s="317">
        <v>27</v>
      </c>
      <c r="H62" s="301">
        <f t="shared" ref="H62" si="129">C62*D62*0.9912/G62</f>
        <v>19999.754444444443</v>
      </c>
      <c r="I62" s="544">
        <f t="shared" ref="I62" si="130">(F62+G62)*H62</f>
        <v>1139986.0033333332</v>
      </c>
      <c r="J62" s="437">
        <f t="shared" ref="J62" si="131">(I62-H62*$O$22)/($O$32*1.003631981)</f>
        <v>248.71915357023678</v>
      </c>
      <c r="K62" s="438">
        <f t="shared" ref="K62" si="132">(J62-D62)*100/D62</f>
        <v>-2.9388668994197915</v>
      </c>
      <c r="L62" s="491">
        <f t="shared" ref="L62" si="133">D62*K62/100</f>
        <v>-7.5308464297632156</v>
      </c>
      <c r="M62" s="344">
        <f t="shared" ref="M62" si="134">H62*$O$22</f>
        <v>639992.14222222217</v>
      </c>
      <c r="N62" s="579"/>
      <c r="O62" s="579"/>
      <c r="P62" s="579"/>
      <c r="Q62" s="579"/>
      <c r="R62" s="355"/>
      <c r="S62" s="355"/>
      <c r="Z62" s="453"/>
      <c r="AC62" s="350"/>
      <c r="AD62" s="350"/>
      <c r="AE62" s="350"/>
      <c r="AF62" s="350"/>
      <c r="AG62" s="350"/>
    </row>
    <row r="63" spans="1:33" ht="18.75">
      <c r="A63" s="229" t="s">
        <v>7074</v>
      </c>
      <c r="B63" s="225" t="s">
        <v>4134</v>
      </c>
      <c r="C63" s="224">
        <v>2070</v>
      </c>
      <c r="D63" s="301">
        <f>126.72*G63/26</f>
        <v>126.72</v>
      </c>
      <c r="E63" s="249" t="s">
        <v>7031</v>
      </c>
      <c r="F63" s="332">
        <v>28</v>
      </c>
      <c r="G63" s="317">
        <v>26</v>
      </c>
      <c r="H63" s="301">
        <f t="shared" ref="H63" si="135">C63*D63*0.9912/G63</f>
        <v>10000.079556923078</v>
      </c>
      <c r="I63" s="544">
        <f t="shared" ref="I63" si="136">(F63+G63)*H63</f>
        <v>540004.29607384617</v>
      </c>
      <c r="J63" s="437">
        <f t="shared" ref="J63" si="137">(I63-H63*$O$22)/($O$32*1.003631981)</f>
        <v>109.43864187677448</v>
      </c>
      <c r="K63" s="438">
        <f t="shared" ref="K63" si="138">(J63-D63)*100/D63</f>
        <v>-13.637435387646399</v>
      </c>
      <c r="L63" s="491">
        <f t="shared" ref="L63" si="139">D63*K63/100</f>
        <v>-17.281358123225516</v>
      </c>
      <c r="M63" s="344">
        <f t="shared" ref="M63" si="140">H63*$O$22</f>
        <v>320002.54582153849</v>
      </c>
      <c r="N63" s="579"/>
      <c r="O63" s="579" t="s">
        <v>25</v>
      </c>
      <c r="P63" s="579"/>
      <c r="Q63" s="579"/>
      <c r="R63" s="355"/>
      <c r="S63" s="355"/>
      <c r="Z63" s="453"/>
      <c r="AC63" s="350"/>
      <c r="AD63" s="350"/>
      <c r="AE63" s="350"/>
      <c r="AF63" s="350"/>
      <c r="AG63" s="350"/>
    </row>
    <row r="64" spans="1:33" ht="21.75" customHeight="1">
      <c r="A64" s="229" t="s">
        <v>7034</v>
      </c>
      <c r="B64" s="225" t="s">
        <v>4134</v>
      </c>
      <c r="C64" s="224">
        <v>1806</v>
      </c>
      <c r="D64" s="301">
        <f>134.071*G64/24</f>
        <v>150.82987499999999</v>
      </c>
      <c r="E64" s="435" t="s">
        <v>7033</v>
      </c>
      <c r="F64" s="436">
        <v>53</v>
      </c>
      <c r="G64" s="482">
        <v>27</v>
      </c>
      <c r="H64" s="301">
        <f t="shared" si="120"/>
        <v>10000.060933799999</v>
      </c>
      <c r="I64" s="544">
        <f t="shared" si="121"/>
        <v>800004.87470399996</v>
      </c>
      <c r="J64" s="437">
        <f>(I64-H64*$O$21)/($O$32*1.003631981)</f>
        <v>208.92792722352638</v>
      </c>
      <c r="K64" s="438">
        <f t="shared" si="31"/>
        <v>38.518928841866639</v>
      </c>
      <c r="L64" s="491">
        <f t="shared" si="60"/>
        <v>58.098052223526395</v>
      </c>
      <c r="M64" s="344">
        <f>H64*$O$21</f>
        <v>380002.31548439997</v>
      </c>
      <c r="N64" s="579"/>
      <c r="O64" s="579"/>
      <c r="P64" s="579"/>
      <c r="Q64" s="579"/>
      <c r="R64" s="355"/>
      <c r="S64" s="355"/>
      <c r="W64" s="453"/>
      <c r="X64" s="453"/>
      <c r="Y64" s="453"/>
      <c r="Z64" s="453"/>
      <c r="AC64" s="350"/>
      <c r="AD64" s="350"/>
      <c r="AE64" s="350"/>
      <c r="AF64" s="350"/>
      <c r="AG64" s="350"/>
    </row>
    <row r="65" spans="1:35" ht="18.75">
      <c r="A65" s="229" t="s">
        <v>7036</v>
      </c>
      <c r="B65" s="225" t="s">
        <v>4134</v>
      </c>
      <c r="C65" s="224">
        <v>1870</v>
      </c>
      <c r="D65" s="301">
        <f>168.32*G65/24</f>
        <v>189.35999999999999</v>
      </c>
      <c r="E65" s="435" t="s">
        <v>7033</v>
      </c>
      <c r="F65" s="436">
        <v>41</v>
      </c>
      <c r="G65" s="482">
        <v>27</v>
      </c>
      <c r="H65" s="301">
        <f t="shared" ref="H65:H66" si="141">C65*D65*0.9912/G65</f>
        <v>12999.521919999997</v>
      </c>
      <c r="I65" s="544">
        <f t="shared" ref="I65:I66" si="142">(F65+G65)*H65</f>
        <v>883967.49055999983</v>
      </c>
      <c r="J65" s="437">
        <f>(I65-H65*$O$21)/($O$32*1.003631981)</f>
        <v>193.99618716768416</v>
      </c>
      <c r="K65" s="438">
        <f t="shared" si="31"/>
        <v>2.448345568063039</v>
      </c>
      <c r="L65" s="491">
        <f t="shared" si="60"/>
        <v>4.6361871676841702</v>
      </c>
      <c r="M65" s="344">
        <f t="shared" ref="M65:M67" si="143">H65*$O$21</f>
        <v>493981.83295999991</v>
      </c>
      <c r="N65" s="570"/>
      <c r="O65" s="570"/>
      <c r="P65" s="570"/>
      <c r="Q65" s="570"/>
      <c r="R65" s="355"/>
      <c r="S65" s="355"/>
      <c r="W65" s="453"/>
      <c r="X65" s="453"/>
      <c r="Y65" s="453"/>
      <c r="Z65" s="453"/>
      <c r="AC65" s="350"/>
      <c r="AD65" s="350"/>
      <c r="AE65" s="350"/>
      <c r="AF65" s="350"/>
      <c r="AG65" s="350"/>
    </row>
    <row r="66" spans="1:35" ht="18.75">
      <c r="A66" s="229" t="s">
        <v>7038</v>
      </c>
      <c r="B66" s="225" t="s">
        <v>4134</v>
      </c>
      <c r="C66" s="224">
        <v>2083</v>
      </c>
      <c r="D66" s="301">
        <f>209.24*G66/24</f>
        <v>235.39500000000001</v>
      </c>
      <c r="E66" s="435" t="s">
        <v>7033</v>
      </c>
      <c r="F66" s="436">
        <v>38</v>
      </c>
      <c r="G66" s="482">
        <v>27</v>
      </c>
      <c r="H66" s="301">
        <f t="shared" si="141"/>
        <v>18000.477796000003</v>
      </c>
      <c r="I66" s="544">
        <f t="shared" si="142"/>
        <v>1170031.0567400001</v>
      </c>
      <c r="J66" s="437">
        <f>(I66-H66*$O$21)/($O$32*1.003631981)</f>
        <v>241.76440279878415</v>
      </c>
      <c r="K66" s="438">
        <f t="shared" si="31"/>
        <v>2.7058360622715592</v>
      </c>
      <c r="L66" s="491">
        <f t="shared" si="60"/>
        <v>6.3694027987841366</v>
      </c>
      <c r="M66" s="344">
        <f t="shared" si="143"/>
        <v>684018.1562480001</v>
      </c>
      <c r="N66" s="590"/>
      <c r="O66" s="590"/>
      <c r="P66" s="590"/>
      <c r="Q66" s="590"/>
      <c r="R66" s="355"/>
      <c r="S66" s="355"/>
      <c r="W66" s="453"/>
      <c r="X66" s="453"/>
      <c r="Y66" s="453"/>
      <c r="Z66" s="453"/>
      <c r="AC66" s="350"/>
      <c r="AD66" s="350"/>
      <c r="AE66" s="350"/>
      <c r="AF66" s="350"/>
      <c r="AG66" s="350"/>
    </row>
    <row r="67" spans="1:35" ht="25.5" customHeight="1">
      <c r="A67" s="571" t="s">
        <v>7039</v>
      </c>
      <c r="B67" s="225" t="s">
        <v>4134</v>
      </c>
      <c r="C67" s="224">
        <v>2096</v>
      </c>
      <c r="D67" s="301">
        <f>1439.19*G67/26</f>
        <v>1494.5434615384618</v>
      </c>
      <c r="E67" s="435" t="s">
        <v>7033</v>
      </c>
      <c r="F67" s="436">
        <v>35.700000000000003</v>
      </c>
      <c r="G67" s="482">
        <v>27</v>
      </c>
      <c r="H67" s="301">
        <f t="shared" ref="H67" si="144">C67*D67*0.9912/G67</f>
        <v>114999.8718572308</v>
      </c>
      <c r="I67" s="544">
        <f t="shared" ref="I67" si="145">(F67+G67)*H67</f>
        <v>7210491.9654483711</v>
      </c>
      <c r="J67" s="437">
        <f>(I67-H67*$O$21)/($O$32*1.003631981)</f>
        <v>1412.9892853458455</v>
      </c>
      <c r="K67" s="438">
        <f t="shared" si="31"/>
        <v>-5.4567952215096902</v>
      </c>
      <c r="L67" s="491">
        <f t="shared" si="60"/>
        <v>-81.554176192616296</v>
      </c>
      <c r="M67" s="344">
        <f t="shared" si="143"/>
        <v>4369995.1305747703</v>
      </c>
      <c r="N67" s="590"/>
      <c r="O67" s="590"/>
      <c r="P67" s="590"/>
      <c r="Q67" s="590"/>
      <c r="R67" s="355"/>
      <c r="S67" s="355"/>
      <c r="W67" s="453"/>
      <c r="X67" s="453"/>
      <c r="Y67" s="453"/>
      <c r="Z67" s="453"/>
      <c r="AC67" s="350"/>
      <c r="AD67" s="350"/>
      <c r="AE67" s="350"/>
      <c r="AF67" s="350"/>
      <c r="AG67" s="350"/>
    </row>
    <row r="68" spans="1:35" ht="18.75">
      <c r="A68" s="229"/>
      <c r="B68" s="225"/>
      <c r="C68" s="224"/>
      <c r="D68" s="301"/>
      <c r="E68" s="435"/>
      <c r="F68" s="436"/>
      <c r="G68" s="482"/>
      <c r="H68" s="437"/>
      <c r="I68" s="437"/>
      <c r="J68" s="437"/>
      <c r="K68" s="100"/>
      <c r="L68" s="438"/>
      <c r="M68" s="491"/>
      <c r="N68" s="590"/>
      <c r="O68" s="590"/>
      <c r="P68" s="590"/>
      <c r="Q68" s="590"/>
      <c r="R68" s="355"/>
      <c r="S68" s="355"/>
      <c r="W68" s="453"/>
      <c r="X68" s="453"/>
      <c r="Y68" s="453"/>
      <c r="Z68" s="453"/>
      <c r="AC68" s="350"/>
      <c r="AD68" s="350"/>
      <c r="AE68" s="350"/>
      <c r="AF68" s="350"/>
      <c r="AG68" s="350"/>
    </row>
    <row r="69" spans="1:35" ht="18.75">
      <c r="A69" s="229" t="s">
        <v>25</v>
      </c>
      <c r="B69" s="225"/>
      <c r="C69" s="224"/>
      <c r="D69" s="301"/>
      <c r="E69" s="435"/>
      <c r="F69" s="436"/>
      <c r="G69" s="482"/>
      <c r="H69" s="437"/>
      <c r="I69" s="481"/>
      <c r="J69" s="437"/>
      <c r="K69" s="100"/>
      <c r="L69" s="438"/>
      <c r="M69" s="491"/>
      <c r="N69" s="564" t="s">
        <v>25</v>
      </c>
      <c r="O69" s="564"/>
      <c r="P69" s="564"/>
      <c r="Q69" s="564"/>
      <c r="R69" s="355"/>
      <c r="S69" s="355"/>
      <c r="X69" s="453"/>
      <c r="Y69" s="453"/>
      <c r="Z69" s="453"/>
      <c r="AA69" s="453"/>
      <c r="AB69" s="453"/>
      <c r="AE69" s="350"/>
      <c r="AF69" s="350"/>
      <c r="AG69" s="350"/>
      <c r="AH69" s="350"/>
      <c r="AI69" s="350"/>
    </row>
    <row r="70" spans="1:35" ht="18.75">
      <c r="A70" s="229" t="s">
        <v>7013</v>
      </c>
      <c r="B70" s="225" t="s">
        <v>4134</v>
      </c>
      <c r="C70" s="224">
        <v>2149</v>
      </c>
      <c r="D70" s="301">
        <v>1</v>
      </c>
      <c r="E70" s="532" t="s">
        <v>6904</v>
      </c>
      <c r="F70" s="533">
        <v>2066.1</v>
      </c>
      <c r="G70" s="534">
        <f>C70*D70*0.9912/(F70*1.00115)</f>
        <v>1.0297865600341516</v>
      </c>
      <c r="H70" s="535">
        <f>C70/F70</f>
        <v>1.0401239049416775</v>
      </c>
      <c r="I70" s="536">
        <f>$O$32/$O$29</f>
        <v>0.99158415841584158</v>
      </c>
      <c r="J70" s="535">
        <f>I70/H70</f>
        <v>0.95333272671147995</v>
      </c>
      <c r="K70" s="100"/>
      <c r="L70" s="438">
        <f>(1/J70-1.0152)*100</f>
        <v>3.3751716416469568</v>
      </c>
      <c r="M70" s="491"/>
      <c r="N70" s="581"/>
      <c r="O70" s="581"/>
      <c r="P70" s="581"/>
      <c r="Q70" s="581"/>
      <c r="R70" s="355"/>
      <c r="S70" s="355"/>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81"/>
      <c r="O71" s="581"/>
      <c r="P71" s="581"/>
      <c r="Q71" s="581"/>
      <c r="R71" s="355"/>
      <c r="S71" s="35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t="s">
        <v>25</v>
      </c>
      <c r="M72" s="524"/>
      <c r="N72" s="581"/>
      <c r="O72" s="581"/>
      <c r="P72" s="581"/>
      <c r="Q72" s="581"/>
      <c r="R72" s="355" t="s">
        <v>25</v>
      </c>
      <c r="S72" s="355"/>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t="s">
        <v>25</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65"/>
      <c r="O74" s="565"/>
      <c r="P74" s="565"/>
      <c r="Q74" s="565"/>
      <c r="R74" s="565"/>
      <c r="S74" s="565"/>
      <c r="X74" s="453"/>
      <c r="Y74" s="453"/>
      <c r="Z74" s="453"/>
      <c r="AA74" s="453"/>
      <c r="AB74" s="453"/>
      <c r="AE74" s="350"/>
      <c r="AF74" s="350"/>
      <c r="AG74" s="350"/>
      <c r="AH74" s="350"/>
      <c r="AI74" s="350"/>
    </row>
    <row r="75" spans="1:35" ht="21" customHeight="1">
      <c r="A75" s="229"/>
      <c r="B75" s="225"/>
      <c r="C75" s="224"/>
      <c r="D75" s="301"/>
      <c r="E75" s="532"/>
      <c r="F75" s="533"/>
      <c r="G75" s="534"/>
      <c r="H75" s="535"/>
      <c r="I75" s="536"/>
      <c r="J75" s="535"/>
      <c r="K75" s="438"/>
      <c r="L75" s="491"/>
      <c r="M75" s="524"/>
      <c r="N75" s="549"/>
      <c r="O75" s="549"/>
      <c r="P75" s="549"/>
      <c r="Q75" s="549"/>
      <c r="R75" s="549"/>
      <c r="S75" s="549"/>
      <c r="X75" s="453"/>
      <c r="Y75" s="453"/>
      <c r="Z75" s="453"/>
      <c r="AA75" s="453"/>
      <c r="AB75" s="453"/>
      <c r="AE75" s="350"/>
      <c r="AF75" s="350"/>
      <c r="AG75" s="350"/>
      <c r="AH75" s="350"/>
      <c r="AI75" s="350"/>
    </row>
    <row r="76" spans="1:35" ht="18.75">
      <c r="A76" s="229"/>
      <c r="B76" s="225"/>
      <c r="C76" s="224"/>
      <c r="D76" s="301"/>
      <c r="E76" s="532"/>
      <c r="F76" s="533" t="s">
        <v>25</v>
      </c>
      <c r="G76" s="534"/>
      <c r="H76" s="535"/>
      <c r="I76" s="536"/>
      <c r="J76" s="535"/>
      <c r="K76" s="438"/>
      <c r="L76" s="491"/>
      <c r="M76" s="524"/>
      <c r="N76" s="506" t="s">
        <v>6925</v>
      </c>
      <c r="O76" s="506" t="s">
        <v>6926</v>
      </c>
      <c r="P76" s="507" t="s">
        <v>4387</v>
      </c>
      <c r="Q76" s="508" t="s">
        <v>6927</v>
      </c>
      <c r="X76" s="453"/>
      <c r="Y76" s="453"/>
      <c r="Z76" s="453"/>
      <c r="AA76" s="453"/>
      <c r="AB76" s="453"/>
      <c r="AE76" s="350"/>
      <c r="AF76" s="350"/>
      <c r="AG76" s="350"/>
      <c r="AH76" s="350"/>
      <c r="AI76" s="350"/>
    </row>
    <row r="77" spans="1:35" ht="18.75">
      <c r="A77" s="496"/>
      <c r="B77" s="497"/>
      <c r="C77" s="498"/>
      <c r="D77" s="369"/>
      <c r="E77" s="429"/>
      <c r="F77" s="504" t="s">
        <v>6918</v>
      </c>
      <c r="G77" s="504"/>
      <c r="H77" s="504" t="s">
        <v>6919</v>
      </c>
      <c r="I77" s="469" t="s">
        <v>6920</v>
      </c>
      <c r="J77" s="429" t="s">
        <v>6921</v>
      </c>
      <c r="K77" s="505" t="s">
        <v>6922</v>
      </c>
      <c r="L77" s="429" t="s">
        <v>6923</v>
      </c>
      <c r="M77" s="506" t="s">
        <v>6924</v>
      </c>
      <c r="N77" s="537">
        <f>L78-M78</f>
        <v>171193.19836755379</v>
      </c>
      <c r="O77" s="537">
        <f>N77*$O$29*0.99885/($O$32*1.003631981)</f>
        <v>171823.55812582359</v>
      </c>
      <c r="P77" s="437">
        <f>O77/D78</f>
        <v>1.0594881987829494</v>
      </c>
      <c r="Q77" s="437">
        <f>100*(O77-D78)/D78</f>
        <v>5.9488198782949331</v>
      </c>
      <c r="R77" s="381" t="s">
        <v>422</v>
      </c>
      <c r="S77" s="516">
        <f>C78*D78*Q77/100</f>
        <v>21176390.086182784</v>
      </c>
      <c r="X77" s="453"/>
      <c r="Y77" s="453"/>
      <c r="Z77" s="453"/>
      <c r="AA77" s="453"/>
      <c r="AB77" s="453"/>
      <c r="AE77" s="350"/>
      <c r="AF77" s="350"/>
      <c r="AG77" s="350"/>
      <c r="AH77" s="350"/>
      <c r="AI77" s="350"/>
    </row>
    <row r="78" spans="1:35" ht="23.25">
      <c r="A78" s="518" t="s">
        <v>7014</v>
      </c>
      <c r="B78" s="225" t="s">
        <v>4134</v>
      </c>
      <c r="C78" s="224">
        <v>2195</v>
      </c>
      <c r="D78" s="301">
        <v>162176</v>
      </c>
      <c r="E78" s="532" t="s">
        <v>6904</v>
      </c>
      <c r="F78" s="533">
        <v>2163</v>
      </c>
      <c r="G78" s="534" t="s">
        <v>7007</v>
      </c>
      <c r="H78" s="535">
        <v>125</v>
      </c>
      <c r="I78" s="536">
        <v>2163</v>
      </c>
      <c r="J78" s="535">
        <f t="shared" ref="J78" si="146">C78*D78*0.9912/(F78*1.00115)</f>
        <v>162939.63208329838</v>
      </c>
      <c r="K78" s="537">
        <f t="shared" ref="K78" si="147">J78*H78*0.99885/(I78*1.00115-H78*0.99885)</f>
        <v>9969.4797562148033</v>
      </c>
      <c r="L78" s="538">
        <f t="shared" ref="L78:L80" si="148">K78+J78</f>
        <v>172909.11183951318</v>
      </c>
      <c r="M78" s="537">
        <f>L78*$O$20*1.00115/($O$29*0.99885)</f>
        <v>1715.9134719593733</v>
      </c>
      <c r="N78" s="537">
        <f>L79-M79</f>
        <v>158412.25829199867</v>
      </c>
      <c r="O78" s="537">
        <f>N78*$O$29*0.99885/($O$32*1.003631981)</f>
        <v>158995.55665779894</v>
      </c>
      <c r="P78" s="437">
        <f>O78/D79</f>
        <v>1.0572567520550515</v>
      </c>
      <c r="Q78" s="437">
        <f>100*(O78-D79)/D79</f>
        <v>5.7256752055051621</v>
      </c>
      <c r="R78" s="381" t="s">
        <v>422</v>
      </c>
      <c r="S78" s="516">
        <f>C79*D79*Q78/100</f>
        <v>17694693.931776818</v>
      </c>
      <c r="X78" s="453"/>
      <c r="Y78" s="453"/>
      <c r="Z78" s="453"/>
      <c r="AA78" s="453"/>
      <c r="AB78" s="453"/>
      <c r="AE78" s="350"/>
      <c r="AF78" s="350"/>
      <c r="AG78" s="350"/>
      <c r="AH78" s="350"/>
      <c r="AI78" s="350"/>
    </row>
    <row r="79" spans="1:35" ht="23.25">
      <c r="A79" s="518" t="s">
        <v>7016</v>
      </c>
      <c r="B79" s="225" t="s">
        <v>4134</v>
      </c>
      <c r="C79" s="224">
        <v>2055</v>
      </c>
      <c r="D79" s="301">
        <v>150385</v>
      </c>
      <c r="E79" s="532" t="s">
        <v>6904</v>
      </c>
      <c r="F79" s="533">
        <v>2047</v>
      </c>
      <c r="G79" s="534" t="s">
        <v>7007</v>
      </c>
      <c r="H79" s="535">
        <v>135</v>
      </c>
      <c r="I79" s="536">
        <v>2047</v>
      </c>
      <c r="J79" s="535">
        <f t="shared" ref="J79" si="149">C79*D79*0.9912/(F79*1.00115)</f>
        <v>149472.27525668393</v>
      </c>
      <c r="K79" s="537">
        <f t="shared" ref="K79" si="150">J79*H79*0.99885/(I79*1.00115-H79*0.99885)</f>
        <v>10527.789856606458</v>
      </c>
      <c r="L79" s="538">
        <f t="shared" si="148"/>
        <v>160000.06511329039</v>
      </c>
      <c r="M79" s="537">
        <f>L79*$O$20*1.00115/($O$29*0.99885)</f>
        <v>1587.8068212917199</v>
      </c>
      <c r="N79" s="503">
        <f>L80-M80</f>
        <v>49623.588749480972</v>
      </c>
      <c r="O79" s="503">
        <f>N79*$O$31*0.9912/($O$32*1.003631981)</f>
        <v>3278.6784008835998</v>
      </c>
      <c r="P79" s="437">
        <f>O79/D80</f>
        <v>1.2120583356624091</v>
      </c>
      <c r="Q79" s="437">
        <f>100*(O79-D80)/D80</f>
        <v>21.205833566240905</v>
      </c>
      <c r="R79" s="381" t="s">
        <v>422</v>
      </c>
      <c r="S79" s="516">
        <f>C80*D80*Q79/100</f>
        <v>1533090.3755843707</v>
      </c>
      <c r="X79" s="453"/>
      <c r="Y79" s="453"/>
      <c r="Z79" s="453"/>
      <c r="AA79" s="453"/>
      <c r="AB79" s="453"/>
      <c r="AE79" s="350"/>
      <c r="AF79" s="350"/>
      <c r="AG79" s="350"/>
      <c r="AH79" s="350"/>
      <c r="AI79" s="350"/>
    </row>
    <row r="80" spans="1:35" ht="23.25">
      <c r="A80" s="518" t="s">
        <v>7004</v>
      </c>
      <c r="B80" s="499" t="s">
        <v>4134</v>
      </c>
      <c r="C80" s="500">
        <v>2672.619370349943</v>
      </c>
      <c r="D80" s="501">
        <v>2705.05</v>
      </c>
      <c r="E80" s="337" t="s">
        <v>5594</v>
      </c>
      <c r="F80" s="502">
        <v>146.16900000000001</v>
      </c>
      <c r="G80" s="502" t="s">
        <v>7005</v>
      </c>
      <c r="H80" s="502">
        <v>3</v>
      </c>
      <c r="I80" s="502">
        <v>129.5</v>
      </c>
      <c r="J80" s="503">
        <f t="shared" ref="J80" si="151">C80*D80*0.9912/(F80*1.003631981)</f>
        <v>48847.679168338589</v>
      </c>
      <c r="K80" s="503">
        <f t="shared" ref="K80" si="152">J80*H80*0.99885/(I80*1.003631981-H80*0.99885)</f>
        <v>1152.793117675388</v>
      </c>
      <c r="L80" s="521">
        <f t="shared" si="148"/>
        <v>50000.472286013974</v>
      </c>
      <c r="M80" s="503">
        <f>L80*1*1.00115/($O$31*0.9912)</f>
        <v>376.88353653300459</v>
      </c>
      <c r="V80" s="509"/>
      <c r="W80" s="453"/>
      <c r="X80" s="453"/>
      <c r="Y80" s="453"/>
      <c r="Z80" s="453"/>
      <c r="AC80" s="350"/>
      <c r="AD80" s="350"/>
      <c r="AE80" s="350"/>
      <c r="AF80" s="350"/>
      <c r="AG80" s="350"/>
    </row>
    <row r="81" spans="1:37">
      <c r="N81" s="365"/>
      <c r="O81" t="s">
        <v>25</v>
      </c>
      <c r="P81" t="s">
        <v>25</v>
      </c>
      <c r="Q81" t="s">
        <v>25</v>
      </c>
      <c r="V81" s="509"/>
      <c r="W81" s="453"/>
      <c r="X81" s="453"/>
      <c r="Y81" s="453"/>
      <c r="Z81" s="453"/>
      <c r="AC81" s="350"/>
      <c r="AD81" s="350"/>
      <c r="AE81" s="350"/>
      <c r="AF81" s="350"/>
      <c r="AG81" s="350"/>
    </row>
    <row r="82" spans="1:37" ht="18.75">
      <c r="A82" s="225"/>
      <c r="B82" s="225"/>
      <c r="C82" s="224"/>
      <c r="D82" s="301"/>
      <c r="E82" s="249"/>
      <c r="F82" s="332"/>
      <c r="G82" s="317"/>
      <c r="H82" s="337"/>
      <c r="I82" s="338"/>
      <c r="J82" s="228"/>
      <c r="K82" s="228"/>
      <c r="L82" s="228"/>
      <c r="M82" s="397" t="s">
        <v>25</v>
      </c>
      <c r="N82" s="36" t="s">
        <v>25</v>
      </c>
      <c r="O82" t="s">
        <v>25</v>
      </c>
      <c r="Q82" t="s">
        <v>25</v>
      </c>
      <c r="S82" s="516">
        <f>SUM(S77:S79)</f>
        <v>40404174.393543974</v>
      </c>
      <c r="T82" t="s">
        <v>25</v>
      </c>
      <c r="V82" s="509"/>
      <c r="W82" s="453"/>
      <c r="X82" s="453"/>
      <c r="Y82" s="453"/>
      <c r="Z82" s="453"/>
      <c r="AC82" s="350"/>
      <c r="AD82" s="350"/>
      <c r="AE82" s="350"/>
      <c r="AF82" s="350"/>
      <c r="AG82" s="350"/>
    </row>
    <row r="83" spans="1:37" ht="18.75">
      <c r="A83" s="225"/>
      <c r="B83" s="225"/>
      <c r="C83" s="224"/>
      <c r="D83" s="301"/>
      <c r="E83" s="249"/>
      <c r="F83" s="332"/>
      <c r="G83" s="317"/>
      <c r="H83" s="337"/>
      <c r="I83" s="338"/>
      <c r="J83" s="228"/>
      <c r="K83" s="228"/>
      <c r="L83" s="228"/>
      <c r="M83" s="343" t="s">
        <v>25</v>
      </c>
      <c r="V83" s="509"/>
      <c r="W83" s="353"/>
      <c r="X83" s="453"/>
      <c r="Y83" s="453"/>
      <c r="Z83" s="453"/>
      <c r="AC83" s="350"/>
      <c r="AD83" s="350"/>
      <c r="AE83" s="350"/>
      <c r="AF83" s="350"/>
      <c r="AG83" s="350"/>
    </row>
    <row r="84" spans="1:37" ht="21">
      <c r="A84" s="249"/>
      <c r="B84" s="249"/>
      <c r="C84" s="332"/>
      <c r="D84" s="317"/>
      <c r="E84" s="170"/>
      <c r="F84" s="170"/>
      <c r="G84" s="170"/>
      <c r="H84" s="170"/>
      <c r="I84" s="170"/>
      <c r="J84" s="354"/>
      <c r="K84" s="368"/>
      <c r="L84" s="354"/>
      <c r="M84" s="343" t="s">
        <v>25</v>
      </c>
      <c r="T84" t="s">
        <v>25</v>
      </c>
      <c r="W84" s="453"/>
      <c r="X84" s="453"/>
      <c r="Y84" s="453"/>
      <c r="Z84" s="453"/>
      <c r="AC84" s="350"/>
      <c r="AD84" s="350"/>
      <c r="AE84" s="350"/>
      <c r="AF84" s="350"/>
      <c r="AG84" s="350"/>
    </row>
    <row r="85" spans="1:37" ht="21">
      <c r="A85" s="249"/>
      <c r="B85" s="249"/>
      <c r="C85" s="332"/>
      <c r="D85" s="317"/>
      <c r="E85" s="170"/>
      <c r="F85" s="170"/>
      <c r="G85" s="170"/>
      <c r="H85" s="170"/>
      <c r="I85" s="170"/>
      <c r="J85" s="354"/>
      <c r="K85" s="368"/>
      <c r="L85" s="354"/>
      <c r="M85" s="343"/>
      <c r="N85" s="36" t="s">
        <v>25</v>
      </c>
      <c r="O85" t="s">
        <v>25</v>
      </c>
      <c r="R85" t="s">
        <v>25</v>
      </c>
      <c r="T85" s="509"/>
      <c r="U85" s="509"/>
      <c r="V85" s="509"/>
      <c r="AG85" s="350"/>
      <c r="AH85" s="350"/>
      <c r="AI85" s="350"/>
      <c r="AJ85" s="350"/>
      <c r="AK85" s="350"/>
    </row>
    <row r="86" spans="1:37" ht="21">
      <c r="A86" s="225"/>
      <c r="B86" s="225"/>
      <c r="C86" s="224"/>
      <c r="D86" s="225"/>
      <c r="E86" s="313"/>
      <c r="F86" s="313"/>
      <c r="G86" s="313"/>
      <c r="H86" s="313"/>
      <c r="I86" s="313"/>
      <c r="J86" s="313"/>
      <c r="K86" s="314"/>
      <c r="L86" s="313"/>
      <c r="N86" t="s">
        <v>25</v>
      </c>
      <c r="O86" s="494"/>
      <c r="P86" t="s">
        <v>25</v>
      </c>
      <c r="U86" s="365"/>
      <c r="Y86" s="379"/>
      <c r="AD86" s="350"/>
      <c r="AE86" s="350"/>
      <c r="AF86" s="350"/>
      <c r="AG86" s="350"/>
    </row>
    <row r="87" spans="1:37" ht="15.75">
      <c r="A87" s="225"/>
      <c r="B87" s="225"/>
      <c r="C87" s="224"/>
      <c r="D87" s="225"/>
      <c r="E87" s="381"/>
      <c r="F87" s="381"/>
      <c r="G87" s="382"/>
      <c r="H87" s="381"/>
      <c r="I87" s="381"/>
      <c r="J87" s="354"/>
      <c r="K87" s="354"/>
      <c r="L87" s="354"/>
      <c r="M87" s="349" t="s">
        <v>25</v>
      </c>
      <c r="O87" s="397" t="s">
        <v>25</v>
      </c>
      <c r="P87" t="s">
        <v>25</v>
      </c>
      <c r="T87" t="s">
        <v>25</v>
      </c>
      <c r="U87" s="492"/>
      <c r="Y87" s="379"/>
      <c r="Z87" s="379"/>
      <c r="AA87" s="379"/>
      <c r="AB87" s="379"/>
      <c r="AC87" s="379"/>
      <c r="AD87" s="350"/>
      <c r="AE87" s="350"/>
      <c r="AF87" s="350"/>
      <c r="AG87" s="350"/>
      <c r="AK87" s="350"/>
    </row>
    <row r="88" spans="1:37" ht="15.75">
      <c r="A88" s="225"/>
      <c r="B88" s="225"/>
      <c r="C88" s="224"/>
      <c r="D88" s="225"/>
      <c r="E88" s="381"/>
      <c r="F88" s="381"/>
      <c r="G88" s="382"/>
      <c r="H88" s="381"/>
      <c r="I88" s="381"/>
      <c r="J88" s="354"/>
      <c r="K88" s="354"/>
      <c r="L88" s="354"/>
      <c r="O88" s="494" t="s">
        <v>25</v>
      </c>
      <c r="Q88" t="s">
        <v>25</v>
      </c>
      <c r="U88" s="492"/>
      <c r="Y88" s="379"/>
      <c r="Z88" s="379"/>
      <c r="AA88" s="379"/>
      <c r="AB88" s="379"/>
      <c r="AC88" s="379"/>
      <c r="AD88" s="350"/>
      <c r="AE88" s="350"/>
      <c r="AF88" s="350"/>
      <c r="AG88" s="350"/>
      <c r="AK88" s="365"/>
    </row>
    <row r="89" spans="1:37" ht="21">
      <c r="A89" s="227" t="s">
        <v>6809</v>
      </c>
      <c r="B89" s="227" t="s">
        <v>5139</v>
      </c>
      <c r="C89" s="226">
        <v>528</v>
      </c>
      <c r="D89" s="298">
        <v>1</v>
      </c>
      <c r="E89" s="330" t="s">
        <v>6808</v>
      </c>
      <c r="F89" s="330">
        <v>13559.5</v>
      </c>
      <c r="G89" s="333">
        <f>C89*D89*0.9912/(F89*1.00115)</f>
        <v>3.8552486057752494E-2</v>
      </c>
      <c r="H89" s="330">
        <f>C89/F89</f>
        <v>3.8939488919207933E-2</v>
      </c>
      <c r="I89" s="330">
        <f>$O$33/$O$36</f>
        <v>4.4657515476887427E-2</v>
      </c>
      <c r="J89" s="330">
        <f>I89/H89</f>
        <v>1.1468439036152558</v>
      </c>
      <c r="K89" s="331">
        <f>(1/J89-1.015)*100</f>
        <v>-14.304175280729314</v>
      </c>
      <c r="L89" s="330"/>
      <c r="M89" t="s">
        <v>25</v>
      </c>
      <c r="O89" s="397" t="s">
        <v>25</v>
      </c>
      <c r="P89" t="s">
        <v>25</v>
      </c>
      <c r="Q89" t="s">
        <v>25</v>
      </c>
      <c r="T89" s="530"/>
      <c r="U89" s="530"/>
      <c r="V89" s="530"/>
      <c r="W89" s="530"/>
      <c r="X89" s="530"/>
      <c r="Y89" s="379"/>
      <c r="Z89" s="379"/>
      <c r="AA89" s="379"/>
      <c r="AB89" s="379"/>
      <c r="AC89" s="379"/>
      <c r="AD89" s="350"/>
      <c r="AE89" s="350"/>
      <c r="AF89" s="350"/>
      <c r="AG89" s="350"/>
      <c r="AK89" s="350"/>
    </row>
    <row r="90" spans="1:37" ht="21">
      <c r="A90" s="227"/>
      <c r="B90" s="227"/>
      <c r="C90" s="226"/>
      <c r="D90" s="298"/>
      <c r="E90" s="330"/>
      <c r="F90" s="330"/>
      <c r="G90" s="333"/>
      <c r="H90" s="330"/>
      <c r="I90" s="330"/>
      <c r="J90" s="330"/>
      <c r="K90" s="331"/>
      <c r="L90" s="330"/>
      <c r="O90" t="s">
        <v>25</v>
      </c>
      <c r="T90" s="530"/>
      <c r="U90" s="530"/>
      <c r="V90" s="530"/>
      <c r="W90" s="530"/>
      <c r="X90" s="530"/>
      <c r="Y90" s="379"/>
      <c r="Z90" s="379"/>
      <c r="AA90" s="379"/>
      <c r="AB90" s="379"/>
      <c r="AC90" s="379"/>
      <c r="AD90" s="350"/>
      <c r="AE90" s="350"/>
      <c r="AF90" s="350"/>
      <c r="AG90" s="350"/>
      <c r="AK90" s="350"/>
    </row>
    <row r="91" spans="1:37" ht="21">
      <c r="A91" s="249"/>
      <c r="B91" s="249"/>
      <c r="C91" s="332"/>
      <c r="D91" s="317"/>
      <c r="E91" s="330"/>
      <c r="F91" s="330"/>
      <c r="G91" s="333"/>
      <c r="H91" s="330"/>
      <c r="I91" s="330"/>
      <c r="J91" s="330"/>
      <c r="K91" s="331"/>
      <c r="L91" s="330"/>
      <c r="M91" t="s">
        <v>25</v>
      </c>
      <c r="O91" t="s">
        <v>25</v>
      </c>
      <c r="T91" s="530"/>
      <c r="U91" s="530"/>
      <c r="V91" s="530"/>
      <c r="W91" s="530"/>
      <c r="X91" s="530"/>
      <c r="Y91" s="379"/>
      <c r="Z91" s="365"/>
      <c r="AA91" s="379"/>
      <c r="AB91" s="379"/>
      <c r="AC91" s="379"/>
      <c r="AD91" s="350"/>
      <c r="AE91" s="350"/>
      <c r="AF91" s="350"/>
      <c r="AG91" s="350"/>
      <c r="AK91" t="s">
        <v>25</v>
      </c>
    </row>
    <row r="92" spans="1:37" ht="21">
      <c r="A92" s="330" t="s">
        <v>6822</v>
      </c>
      <c r="B92" s="330" t="s">
        <v>6825</v>
      </c>
      <c r="C92" s="344">
        <v>8724.2999999999993</v>
      </c>
      <c r="D92" s="333">
        <v>71134</v>
      </c>
      <c r="E92" s="301" t="s">
        <v>4134</v>
      </c>
      <c r="F92" s="301">
        <v>1719.9647014073792</v>
      </c>
      <c r="G92" s="301">
        <f t="shared" ref="G92:G112" si="153">C92*D92*0.99885/(F92*1.003631981)</f>
        <v>359098.89592002367</v>
      </c>
      <c r="H92" s="225">
        <f t="shared" ref="H92:H113" si="154">C92/F92</f>
        <v>5.0723715392887128</v>
      </c>
      <c r="I92" s="225">
        <f>$O$37/$O$32</f>
        <v>7.3065401897154265</v>
      </c>
      <c r="J92" s="28">
        <f>I92/H92</f>
        <v>1.4404583996108467</v>
      </c>
      <c r="K92" s="230">
        <f t="shared" ref="K92" si="155">(1/J92-1.015)*100</f>
        <v>-32.07765498329146</v>
      </c>
      <c r="L92" s="228"/>
      <c r="M92" t="s">
        <v>25</v>
      </c>
      <c r="Y92" s="379"/>
      <c r="Z92" s="379"/>
      <c r="AA92" s="379"/>
      <c r="AB92" s="379"/>
      <c r="AC92" s="379"/>
      <c r="AD92" s="350"/>
      <c r="AE92" s="350"/>
      <c r="AF92" s="350"/>
      <c r="AG92" s="350"/>
    </row>
    <row r="93" spans="1:37" ht="21">
      <c r="A93" s="330" t="s">
        <v>6822</v>
      </c>
      <c r="B93" s="330" t="s">
        <v>6808</v>
      </c>
      <c r="C93" s="344">
        <v>14116.9</v>
      </c>
      <c r="D93" s="333">
        <v>22382</v>
      </c>
      <c r="E93" s="301" t="s">
        <v>4134</v>
      </c>
      <c r="F93" s="301">
        <v>1720.6021300874859</v>
      </c>
      <c r="G93" s="301">
        <f t="shared" si="153"/>
        <v>182761.01261804847</v>
      </c>
      <c r="H93" s="225">
        <f t="shared" si="154"/>
        <v>8.2046277597495543</v>
      </c>
      <c r="I93" s="225">
        <f t="shared" ref="I93:I98" si="156">$O$36/$O$32</f>
        <v>9.3210184722915628</v>
      </c>
      <c r="J93" s="28">
        <f>I93/H93</f>
        <v>1.136068417146092</v>
      </c>
      <c r="K93" s="230">
        <f t="shared" ref="K93" si="157">(1/J93-1.015)*100</f>
        <v>-13.477132282922554</v>
      </c>
      <c r="L93" s="228"/>
      <c r="O93" t="s">
        <v>25</v>
      </c>
      <c r="W93" t="s">
        <v>25</v>
      </c>
      <c r="Y93" s="379"/>
      <c r="Z93" s="379"/>
      <c r="AA93" s="379"/>
      <c r="AB93" s="379"/>
      <c r="AC93" s="379"/>
      <c r="AD93" s="350"/>
      <c r="AE93" s="350"/>
      <c r="AF93" s="350"/>
      <c r="AG93" s="350"/>
    </row>
    <row r="94" spans="1:37" ht="21">
      <c r="A94" s="330" t="s">
        <v>6824</v>
      </c>
      <c r="B94" s="330" t="s">
        <v>6808</v>
      </c>
      <c r="C94" s="344">
        <v>14385</v>
      </c>
      <c r="D94" s="333">
        <v>15000</v>
      </c>
      <c r="E94" s="301" t="s">
        <v>4134</v>
      </c>
      <c r="F94" s="301">
        <v>1709.5837200456449</v>
      </c>
      <c r="G94" s="301">
        <f t="shared" si="153"/>
        <v>125613.56285967458</v>
      </c>
      <c r="H94" s="225">
        <f t="shared" si="154"/>
        <v>8.4143290739899701</v>
      </c>
      <c r="I94" s="225">
        <f t="shared" si="156"/>
        <v>9.3210184722915628</v>
      </c>
      <c r="J94" s="28">
        <f t="shared" ref="J94:J95" si="158">I94/H94</f>
        <v>1.1077554003805621</v>
      </c>
      <c r="K94" s="230">
        <f t="shared" ref="K94" si="159">(1/J94-1.015)*100</f>
        <v>-11.227364032126886</v>
      </c>
      <c r="L94" s="228"/>
      <c r="M94" t="s">
        <v>25</v>
      </c>
      <c r="N94" t="s">
        <v>25</v>
      </c>
      <c r="V94" s="379"/>
      <c r="W94" s="377"/>
      <c r="Y94" s="379"/>
      <c r="Z94" s="379"/>
      <c r="AA94" s="379"/>
      <c r="AB94" s="379"/>
      <c r="AC94" s="379"/>
    </row>
    <row r="95" spans="1:37" ht="21">
      <c r="A95" s="330" t="s">
        <v>6826</v>
      </c>
      <c r="B95" s="330" t="s">
        <v>6808</v>
      </c>
      <c r="C95" s="344">
        <v>14647</v>
      </c>
      <c r="D95" s="333">
        <v>6000</v>
      </c>
      <c r="E95" s="301" t="s">
        <v>4075</v>
      </c>
      <c r="F95" s="301">
        <v>1711.9513122860403</v>
      </c>
      <c r="G95" s="301">
        <f t="shared" si="153"/>
        <v>51089.812037703196</v>
      </c>
      <c r="H95" s="225">
        <f t="shared" si="154"/>
        <v>8.5557339714534564</v>
      </c>
      <c r="I95" s="225">
        <f t="shared" si="156"/>
        <v>9.3210184722915628</v>
      </c>
      <c r="J95" s="28">
        <f t="shared" si="158"/>
        <v>1.0894469724504652</v>
      </c>
      <c r="K95" s="230">
        <f>(1/J95-1.015)*100</f>
        <v>-9.710309883121182</v>
      </c>
      <c r="L95" s="228"/>
      <c r="N95" t="s">
        <v>25</v>
      </c>
      <c r="O95" t="s">
        <v>25</v>
      </c>
      <c r="P95" t="s">
        <v>25</v>
      </c>
      <c r="T95" s="519"/>
      <c r="U95" s="519"/>
      <c r="V95" s="519"/>
      <c r="W95" s="519"/>
      <c r="Y95" s="379"/>
      <c r="Z95" s="379"/>
      <c r="AA95" s="379"/>
      <c r="AB95" s="379"/>
      <c r="AC95" s="379"/>
    </row>
    <row r="96" spans="1:37" ht="21">
      <c r="A96" s="330" t="s">
        <v>6827</v>
      </c>
      <c r="B96" s="330" t="s">
        <v>6808</v>
      </c>
      <c r="C96" s="344">
        <v>14870</v>
      </c>
      <c r="D96" s="333">
        <v>3642</v>
      </c>
      <c r="E96" s="301" t="s">
        <v>4134</v>
      </c>
      <c r="F96" s="301">
        <v>1702.8451882845188</v>
      </c>
      <c r="G96" s="301">
        <f t="shared" si="153"/>
        <v>31652.026864165495</v>
      </c>
      <c r="H96" s="225">
        <f t="shared" si="154"/>
        <v>8.7324438547348766</v>
      </c>
      <c r="I96" s="225">
        <f t="shared" si="156"/>
        <v>9.3210184722915628</v>
      </c>
      <c r="J96" s="28">
        <f t="shared" ref="J96" si="160">I96/H96</f>
        <v>1.0674009048724145</v>
      </c>
      <c r="K96" s="230">
        <f>(1/J96-1.015)*100</f>
        <v>-7.8144882644137104</v>
      </c>
      <c r="L96" s="228"/>
      <c r="M96" t="s">
        <v>25</v>
      </c>
      <c r="O96" t="s">
        <v>25</v>
      </c>
      <c r="T96" s="519"/>
      <c r="U96" s="519"/>
      <c r="V96" s="519"/>
      <c r="W96" s="519"/>
      <c r="X96" s="328"/>
      <c r="Y96" s="379"/>
      <c r="Z96" s="379"/>
      <c r="AA96" s="379"/>
      <c r="AB96" s="379"/>
      <c r="AC96" s="379"/>
      <c r="AE96" t="s">
        <v>25</v>
      </c>
    </row>
    <row r="97" spans="1:29" ht="21">
      <c r="A97" s="330" t="s">
        <v>6827</v>
      </c>
      <c r="B97" s="330" t="s">
        <v>6808</v>
      </c>
      <c r="C97" s="344">
        <v>14870</v>
      </c>
      <c r="D97" s="333">
        <v>3721</v>
      </c>
      <c r="E97" s="345" t="s">
        <v>4134</v>
      </c>
      <c r="F97" s="301">
        <v>1702.8451882845188</v>
      </c>
      <c r="G97" s="301">
        <f t="shared" si="153"/>
        <v>32338.602954848928</v>
      </c>
      <c r="H97" s="225">
        <f t="shared" si="154"/>
        <v>8.7324438547348766</v>
      </c>
      <c r="I97" s="225">
        <f t="shared" si="156"/>
        <v>9.3210184722915628</v>
      </c>
      <c r="J97" s="28">
        <f t="shared" ref="J97" si="161">I97/H97</f>
        <v>1.0674009048724145</v>
      </c>
      <c r="K97" s="230">
        <f t="shared" ref="K97" si="162">(1/J97-1.015)*100</f>
        <v>-7.8144882644137104</v>
      </c>
      <c r="L97" s="228"/>
      <c r="N97" t="s">
        <v>25</v>
      </c>
      <c r="O97" t="s">
        <v>25</v>
      </c>
      <c r="T97" s="379" t="s">
        <v>25</v>
      </c>
      <c r="U97" s="365"/>
      <c r="V97" s="379" t="s">
        <v>25</v>
      </c>
      <c r="W97" s="377"/>
      <c r="X97" s="336"/>
      <c r="Y97" s="379"/>
      <c r="Z97" s="379"/>
      <c r="AA97" s="379"/>
      <c r="AB97" s="379"/>
      <c r="AC97" s="379"/>
    </row>
    <row r="98" spans="1:29" ht="21">
      <c r="A98" s="330" t="s">
        <v>6827</v>
      </c>
      <c r="B98" s="330" t="s">
        <v>6808</v>
      </c>
      <c r="C98" s="344">
        <v>15600</v>
      </c>
      <c r="D98" s="333">
        <v>35181</v>
      </c>
      <c r="E98" s="345" t="s">
        <v>4134</v>
      </c>
      <c r="F98" s="301">
        <v>1693.2382274629138</v>
      </c>
      <c r="G98" s="301">
        <f t="shared" si="153"/>
        <v>322582.27142649592</v>
      </c>
      <c r="H98" s="225">
        <f t="shared" si="154"/>
        <v>9.2131158787824372</v>
      </c>
      <c r="I98" s="225">
        <f t="shared" si="156"/>
        <v>9.3210184722915628</v>
      </c>
      <c r="J98" s="28">
        <f>I98/H98</f>
        <v>1.0117118459084642</v>
      </c>
      <c r="K98" s="230">
        <f>(1/J98-1.015)*100</f>
        <v>-2.6576266459495179</v>
      </c>
      <c r="L98" s="228"/>
      <c r="N98" t="s">
        <v>25</v>
      </c>
      <c r="O98" t="s">
        <v>25</v>
      </c>
      <c r="T98" s="453" t="s">
        <v>25</v>
      </c>
      <c r="U98" s="379"/>
      <c r="V98" s="379"/>
      <c r="W98" s="377"/>
      <c r="X98" s="336"/>
      <c r="Y98" s="379"/>
      <c r="Z98" s="379"/>
      <c r="AA98" s="379"/>
      <c r="AB98" s="379"/>
      <c r="AC98" s="379"/>
    </row>
    <row r="99" spans="1:29" ht="21">
      <c r="A99" s="330" t="s">
        <v>6827</v>
      </c>
      <c r="B99" s="330" t="s">
        <v>6808</v>
      </c>
      <c r="C99" s="344">
        <v>14870</v>
      </c>
      <c r="D99" s="333">
        <v>2279</v>
      </c>
      <c r="E99" s="317" t="s">
        <v>4542</v>
      </c>
      <c r="F99" s="317">
        <v>435</v>
      </c>
      <c r="G99" s="317">
        <f t="shared" si="153"/>
        <v>77533.93376708201</v>
      </c>
      <c r="H99" s="249">
        <f t="shared" si="154"/>
        <v>34.183908045977013</v>
      </c>
      <c r="I99" s="249">
        <f>$O$36/$O$34</f>
        <v>42.43181818181818</v>
      </c>
      <c r="J99" s="28">
        <f>I99/H99</f>
        <v>1.2412804915326769</v>
      </c>
      <c r="K99" s="230">
        <f>(1/J99-1.015)*100</f>
        <v>-20.938031386020949</v>
      </c>
      <c r="L99" s="228"/>
      <c r="N99" t="s">
        <v>25</v>
      </c>
      <c r="O99" t="s">
        <v>25</v>
      </c>
      <c r="T99" s="453" t="s">
        <v>25</v>
      </c>
      <c r="U99" s="379" t="s">
        <v>25</v>
      </c>
      <c r="V99" s="379"/>
      <c r="W99" s="377"/>
      <c r="X99" s="336"/>
      <c r="Y99" s="379"/>
      <c r="Z99" s="379"/>
      <c r="AA99" s="379"/>
      <c r="AB99" s="379"/>
      <c r="AC99" s="379"/>
    </row>
    <row r="100" spans="1:29" ht="21">
      <c r="A100" s="330" t="s">
        <v>6827</v>
      </c>
      <c r="B100" s="330" t="s">
        <v>6808</v>
      </c>
      <c r="C100" s="344">
        <v>14870</v>
      </c>
      <c r="D100" s="333">
        <v>2279</v>
      </c>
      <c r="E100" s="348" t="s">
        <v>4542</v>
      </c>
      <c r="F100" s="317">
        <v>435</v>
      </c>
      <c r="G100" s="317">
        <f t="shared" si="153"/>
        <v>77533.93376708201</v>
      </c>
      <c r="H100" s="249">
        <f t="shared" si="154"/>
        <v>34.183908045977013</v>
      </c>
      <c r="I100" s="249">
        <f>$O$36/$O$34</f>
        <v>42.43181818181818</v>
      </c>
      <c r="J100" s="28">
        <f>I100/H100</f>
        <v>1.2412804915326769</v>
      </c>
      <c r="K100" s="230">
        <f t="shared" ref="K100" si="163">(1/J100-1.015)*100</f>
        <v>-20.938031386020949</v>
      </c>
      <c r="L100" s="228"/>
      <c r="N100" t="s">
        <v>25</v>
      </c>
      <c r="T100" s="453" t="s">
        <v>25</v>
      </c>
      <c r="U100" s="379"/>
      <c r="V100" s="379"/>
      <c r="X100" s="336"/>
      <c r="Y100" s="379"/>
      <c r="Z100" s="379"/>
      <c r="AA100" s="379"/>
      <c r="AB100" s="379"/>
      <c r="AC100" s="379"/>
    </row>
    <row r="101" spans="1:29" ht="21">
      <c r="A101" s="330" t="s">
        <v>6827</v>
      </c>
      <c r="B101" s="330" t="s">
        <v>6808</v>
      </c>
      <c r="C101" s="344">
        <v>15600</v>
      </c>
      <c r="D101" s="333">
        <v>40264</v>
      </c>
      <c r="E101" s="348" t="s">
        <v>4542</v>
      </c>
      <c r="F101" s="317">
        <v>438</v>
      </c>
      <c r="G101" s="317">
        <f t="shared" si="153"/>
        <v>1427227.4417065773</v>
      </c>
      <c r="H101" s="249">
        <f t="shared" si="154"/>
        <v>35.61643835616438</v>
      </c>
      <c r="I101" s="249">
        <f>$O$36/$O$34</f>
        <v>42.43181818181818</v>
      </c>
      <c r="J101" s="28">
        <f>I101/H101</f>
        <v>1.1913548951048951</v>
      </c>
      <c r="K101" s="230">
        <f>(1/J101-1.015)*100</f>
        <v>-17.56195566838602</v>
      </c>
      <c r="L101" s="228"/>
      <c r="N101" t="s">
        <v>25</v>
      </c>
      <c r="T101" s="379" t="s">
        <v>25</v>
      </c>
      <c r="U101" s="379"/>
      <c r="Y101" s="379"/>
      <c r="Z101" s="379"/>
      <c r="AA101" s="379"/>
      <c r="AB101" s="379"/>
      <c r="AC101" s="379"/>
    </row>
    <row r="102" spans="1:29" ht="21">
      <c r="A102" s="330" t="s">
        <v>6829</v>
      </c>
      <c r="B102" s="330" t="s">
        <v>6808</v>
      </c>
      <c r="C102" s="344">
        <v>16212</v>
      </c>
      <c r="D102" s="333">
        <v>224</v>
      </c>
      <c r="E102" s="348" t="s">
        <v>4542</v>
      </c>
      <c r="F102" s="317">
        <v>432</v>
      </c>
      <c r="G102" s="317">
        <f t="shared" si="153"/>
        <v>8366.1692987308925</v>
      </c>
      <c r="H102" s="249">
        <f t="shared" si="154"/>
        <v>37.527777777777779</v>
      </c>
      <c r="I102" s="249">
        <f>$O$36/$O$34</f>
        <v>42.43181818181818</v>
      </c>
      <c r="J102" s="28">
        <f>I102/H102</f>
        <v>1.1306776125428974</v>
      </c>
      <c r="K102" s="230">
        <f>(1/J102-1.015)*100</f>
        <v>-13.057459977384978</v>
      </c>
      <c r="L102" s="228"/>
      <c r="N102" t="s">
        <v>25</v>
      </c>
      <c r="T102" s="379" t="s">
        <v>25</v>
      </c>
      <c r="U102" s="379"/>
      <c r="Y102" s="379"/>
      <c r="Z102" s="379"/>
      <c r="AA102" s="379"/>
      <c r="AB102" s="379"/>
      <c r="AC102" s="379"/>
    </row>
    <row r="103" spans="1:29" ht="21">
      <c r="A103" s="330" t="s">
        <v>6829</v>
      </c>
      <c r="B103" s="330" t="s">
        <v>6808</v>
      </c>
      <c r="C103" s="344">
        <v>16756</v>
      </c>
      <c r="D103" s="333">
        <v>716</v>
      </c>
      <c r="E103" s="348" t="s">
        <v>4542</v>
      </c>
      <c r="F103" s="317">
        <v>435</v>
      </c>
      <c r="G103" s="317">
        <f t="shared" si="153"/>
        <v>27448.581090175932</v>
      </c>
      <c r="H103" s="249">
        <f t="shared" si="154"/>
        <v>38.51954022988506</v>
      </c>
      <c r="I103" s="249">
        <f>$O$36/$O$34</f>
        <v>42.43181818181818</v>
      </c>
      <c r="J103" s="28">
        <f t="shared" ref="J103" si="164">I103/H103</f>
        <v>1.1015660604613815</v>
      </c>
      <c r="K103" s="230">
        <f t="shared" ref="K103" si="165">(1/J103-1.015)*100</f>
        <v>-10.720151573918436</v>
      </c>
      <c r="L103" s="228"/>
      <c r="N103" t="s">
        <v>25</v>
      </c>
      <c r="O103" t="s">
        <v>25</v>
      </c>
      <c r="T103" s="379"/>
      <c r="Y103" s="379"/>
      <c r="Z103" s="379"/>
      <c r="AA103" s="379"/>
      <c r="AB103" s="379"/>
      <c r="AC103" s="379"/>
    </row>
    <row r="104" spans="1:29" ht="21">
      <c r="A104" s="330" t="s">
        <v>6827</v>
      </c>
      <c r="B104" s="330" t="s">
        <v>6808</v>
      </c>
      <c r="C104" s="344">
        <v>15800</v>
      </c>
      <c r="D104" s="333">
        <v>97579</v>
      </c>
      <c r="E104" s="347" t="s">
        <v>5139</v>
      </c>
      <c r="F104" s="298">
        <v>564.09649999999999</v>
      </c>
      <c r="G104" s="298">
        <f t="shared" si="153"/>
        <v>2720105.991936069</v>
      </c>
      <c r="H104" s="227">
        <f t="shared" si="154"/>
        <v>28.009392010055016</v>
      </c>
      <c r="I104" s="227">
        <f t="shared" ref="I104:I112" si="166">$O$36/$O$33</f>
        <v>22.392647448502853</v>
      </c>
      <c r="J104" s="28">
        <f t="shared" ref="J104:J113" si="167">I104/H104</f>
        <v>0.79946924376167028</v>
      </c>
      <c r="K104" s="230">
        <f t="shared" ref="K104:K108" si="168">(1/J104-1.015)*100</f>
        <v>23.582985718723904</v>
      </c>
      <c r="L104" s="228"/>
      <c r="O104" t="s">
        <v>25</v>
      </c>
      <c r="T104" t="s">
        <v>25</v>
      </c>
      <c r="W104" s="377"/>
      <c r="X104" s="328"/>
      <c r="Y104" s="379"/>
      <c r="Z104" s="379"/>
      <c r="AA104" s="379"/>
      <c r="AB104" s="379"/>
      <c r="AC104" s="379"/>
    </row>
    <row r="105" spans="1:29" ht="21">
      <c r="A105" s="330" t="s">
        <v>6829</v>
      </c>
      <c r="B105" s="330" t="s">
        <v>6808</v>
      </c>
      <c r="C105" s="344">
        <v>16212</v>
      </c>
      <c r="D105" s="333">
        <v>12020</v>
      </c>
      <c r="E105" s="347" t="s">
        <v>5139</v>
      </c>
      <c r="F105" s="298">
        <v>568.19000000000005</v>
      </c>
      <c r="G105" s="298">
        <f t="shared" si="153"/>
        <v>341329.05544801702</v>
      </c>
      <c r="H105" s="227">
        <f t="shared" si="154"/>
        <v>28.53270912898854</v>
      </c>
      <c r="I105" s="227">
        <f t="shared" si="166"/>
        <v>22.392647448502853</v>
      </c>
      <c r="J105" s="28">
        <f t="shared" si="167"/>
        <v>0.7848062147646705</v>
      </c>
      <c r="K105" s="230">
        <f t="shared" si="168"/>
        <v>25.919989952533307</v>
      </c>
      <c r="L105" s="228"/>
      <c r="N105" t="s">
        <v>25</v>
      </c>
      <c r="V105" s="377"/>
      <c r="W105" s="377"/>
      <c r="X105" s="328"/>
      <c r="Y105" s="379"/>
      <c r="Z105" s="379"/>
      <c r="AA105" s="379"/>
      <c r="AB105" s="379"/>
      <c r="AC105" s="379"/>
    </row>
    <row r="106" spans="1:29" ht="21">
      <c r="A106" s="330" t="s">
        <v>6830</v>
      </c>
      <c r="B106" s="330" t="s">
        <v>6808</v>
      </c>
      <c r="C106" s="344">
        <v>16235</v>
      </c>
      <c r="D106" s="333">
        <v>6214</v>
      </c>
      <c r="E106" s="347" t="s">
        <v>5139</v>
      </c>
      <c r="F106" s="369">
        <v>556</v>
      </c>
      <c r="G106" s="369">
        <f t="shared" si="153"/>
        <v>180582.03069431783</v>
      </c>
      <c r="H106" s="366">
        <f t="shared" si="154"/>
        <v>29.199640287769785</v>
      </c>
      <c r="I106" s="366">
        <f t="shared" si="166"/>
        <v>22.392647448502853</v>
      </c>
      <c r="J106" s="354">
        <f t="shared" si="167"/>
        <v>0.76688093510117561</v>
      </c>
      <c r="K106" s="368">
        <f t="shared" si="168"/>
        <v>28.898338807062494</v>
      </c>
      <c r="L106" s="367"/>
      <c r="T106" t="s">
        <v>25</v>
      </c>
      <c r="U106" s="35"/>
      <c r="V106" s="377"/>
      <c r="Y106" s="379"/>
      <c r="Z106" s="379"/>
      <c r="AA106" s="379"/>
      <c r="AB106" s="379"/>
      <c r="AC106" s="379"/>
    </row>
    <row r="107" spans="1:29" ht="21">
      <c r="A107" s="330" t="s">
        <v>6829</v>
      </c>
      <c r="B107" s="330" t="s">
        <v>6808</v>
      </c>
      <c r="C107" s="344">
        <v>16756</v>
      </c>
      <c r="D107" s="333">
        <v>31581</v>
      </c>
      <c r="E107" s="347" t="s">
        <v>5139</v>
      </c>
      <c r="F107" s="298">
        <v>560</v>
      </c>
      <c r="G107" s="298">
        <f t="shared" si="153"/>
        <v>940446.26182873116</v>
      </c>
      <c r="H107" s="227">
        <f t="shared" si="154"/>
        <v>29.921428571428571</v>
      </c>
      <c r="I107" s="227">
        <f t="shared" si="166"/>
        <v>22.392647448502853</v>
      </c>
      <c r="J107" s="28">
        <f t="shared" si="167"/>
        <v>0.74838162873965131</v>
      </c>
      <c r="K107" s="230">
        <f t="shared" si="168"/>
        <v>32.121665951915325</v>
      </c>
      <c r="L107" s="228"/>
      <c r="O107" t="s">
        <v>25</v>
      </c>
      <c r="T107" s="25" t="s">
        <v>25</v>
      </c>
      <c r="U107" s="377"/>
      <c r="W107" s="334"/>
      <c r="Y107" s="379"/>
      <c r="Z107" s="379"/>
      <c r="AA107" s="379"/>
      <c r="AB107" s="379"/>
      <c r="AC107" s="379"/>
    </row>
    <row r="108" spans="1:29" ht="21">
      <c r="A108" s="330" t="s">
        <v>6830</v>
      </c>
      <c r="B108" s="330" t="s">
        <v>6808</v>
      </c>
      <c r="C108" s="344">
        <v>17050</v>
      </c>
      <c r="D108" s="333">
        <v>10193</v>
      </c>
      <c r="E108" s="347" t="s">
        <v>5139</v>
      </c>
      <c r="F108" s="298">
        <v>560</v>
      </c>
      <c r="G108" s="298">
        <f t="shared" si="153"/>
        <v>308861.7748174154</v>
      </c>
      <c r="H108" s="227">
        <f t="shared" si="154"/>
        <v>30.446428571428573</v>
      </c>
      <c r="I108" s="227">
        <f t="shared" si="166"/>
        <v>22.392647448502853</v>
      </c>
      <c r="J108" s="28">
        <f t="shared" si="167"/>
        <v>0.73547698364584146</v>
      </c>
      <c r="K108" s="230">
        <f t="shared" si="168"/>
        <v>34.466185514451929</v>
      </c>
      <c r="L108" s="228"/>
      <c r="P108" t="s">
        <v>25</v>
      </c>
      <c r="T108" s="25"/>
      <c r="U108" s="377"/>
      <c r="V108" s="365"/>
      <c r="W108" s="334"/>
      <c r="Y108" s="379"/>
      <c r="Z108" s="379"/>
      <c r="AA108" s="379"/>
      <c r="AB108" s="379"/>
      <c r="AC108" s="379"/>
    </row>
    <row r="109" spans="1:29" ht="21">
      <c r="A109" s="330" t="s">
        <v>6815</v>
      </c>
      <c r="B109" s="330" t="s">
        <v>6808</v>
      </c>
      <c r="C109" s="344">
        <v>14976</v>
      </c>
      <c r="D109" s="333">
        <v>584</v>
      </c>
      <c r="E109" s="347" t="s">
        <v>5139</v>
      </c>
      <c r="F109" s="369">
        <v>543</v>
      </c>
      <c r="G109" s="369">
        <f t="shared" si="153"/>
        <v>16030.040924111199</v>
      </c>
      <c r="H109" s="366">
        <f t="shared" si="154"/>
        <v>27.58011049723757</v>
      </c>
      <c r="I109" s="366">
        <f t="shared" si="166"/>
        <v>22.392647448502853</v>
      </c>
      <c r="J109" s="354">
        <f t="shared" ref="J109" si="169">I109/H109</f>
        <v>0.81191289827304014</v>
      </c>
      <c r="K109" s="368">
        <f t="shared" ref="K109" si="170">(1/J109-1.015)*100</f>
        <v>21.665921138465237</v>
      </c>
      <c r="L109" s="367"/>
      <c r="N109" t="s">
        <v>25</v>
      </c>
      <c r="O109" t="s">
        <v>25</v>
      </c>
      <c r="T109" s="365" t="s">
        <v>25</v>
      </c>
      <c r="V109" s="365"/>
      <c r="W109" s="334"/>
      <c r="Y109" s="379"/>
      <c r="Z109" s="379"/>
      <c r="AA109" s="379"/>
      <c r="AB109" s="379"/>
      <c r="AC109" s="379"/>
    </row>
    <row r="110" spans="1:29" ht="21">
      <c r="A110" s="330" t="s">
        <v>6815</v>
      </c>
      <c r="B110" s="330" t="s">
        <v>6808</v>
      </c>
      <c r="C110" s="344">
        <v>14969</v>
      </c>
      <c r="D110" s="333">
        <v>43109</v>
      </c>
      <c r="E110" s="347" t="s">
        <v>5139</v>
      </c>
      <c r="F110" s="369">
        <v>541</v>
      </c>
      <c r="G110" s="369">
        <f t="shared" si="153"/>
        <v>1187105.3276976866</v>
      </c>
      <c r="H110" s="366">
        <f t="shared" si="154"/>
        <v>27.669131238447321</v>
      </c>
      <c r="I110" s="366">
        <f t="shared" si="166"/>
        <v>22.392647448502853</v>
      </c>
      <c r="J110" s="354">
        <f t="shared" ref="J110" si="171">I110/H110</f>
        <v>0.80930070610194693</v>
      </c>
      <c r="K110" s="368">
        <f t="shared" ref="K110" si="172">(1/J110-1.015)*100</f>
        <v>22.063465651299087</v>
      </c>
      <c r="L110" s="367"/>
      <c r="N110" t="s">
        <v>25</v>
      </c>
      <c r="O110" t="s">
        <v>25</v>
      </c>
      <c r="T110" s="365" t="s">
        <v>25</v>
      </c>
      <c r="U110" s="365" t="s">
        <v>25</v>
      </c>
      <c r="V110" s="365"/>
      <c r="X110" s="196"/>
      <c r="Y110" s="379"/>
      <c r="Z110" s="379"/>
      <c r="AA110" s="379"/>
      <c r="AB110" s="379"/>
      <c r="AC110" s="379"/>
    </row>
    <row r="111" spans="1:29" ht="21">
      <c r="A111" s="330" t="s">
        <v>6836</v>
      </c>
      <c r="B111" s="330" t="s">
        <v>6808</v>
      </c>
      <c r="C111" s="344">
        <v>14870</v>
      </c>
      <c r="D111" s="333">
        <v>43136</v>
      </c>
      <c r="E111" s="347" t="s">
        <v>5139</v>
      </c>
      <c r="F111" s="369">
        <v>541.11710000000005</v>
      </c>
      <c r="G111" s="369">
        <f t="shared" si="153"/>
        <v>1179737.4412215259</v>
      </c>
      <c r="H111" s="366">
        <f t="shared" si="154"/>
        <v>27.480188668959084</v>
      </c>
      <c r="I111" s="366">
        <f t="shared" si="166"/>
        <v>22.392647448502853</v>
      </c>
      <c r="J111" s="354">
        <f t="shared" ref="J111:J112" si="173">I111/H111</f>
        <v>0.81486512768367614</v>
      </c>
      <c r="K111" s="368">
        <f t="shared" ref="K111:K112" si="174">(1/J111-1.015)*100</f>
        <v>21.219695079182689</v>
      </c>
      <c r="L111" s="367"/>
      <c r="N111" t="s">
        <v>25</v>
      </c>
      <c r="O111" t="s">
        <v>25</v>
      </c>
      <c r="T111" s="365" t="s">
        <v>25</v>
      </c>
      <c r="U111" s="365"/>
      <c r="V111" s="365"/>
      <c r="Y111" s="379"/>
      <c r="Z111" s="379"/>
      <c r="AA111" s="379"/>
      <c r="AB111" s="379"/>
      <c r="AC111" s="379"/>
    </row>
    <row r="112" spans="1:29" ht="21">
      <c r="A112" s="330" t="s">
        <v>6836</v>
      </c>
      <c r="B112" s="330" t="s">
        <v>6808</v>
      </c>
      <c r="C112" s="344">
        <v>14920</v>
      </c>
      <c r="D112" s="333">
        <v>109651</v>
      </c>
      <c r="E112" s="347" t="s">
        <v>5139</v>
      </c>
      <c r="F112" s="369">
        <v>541.15419999999995</v>
      </c>
      <c r="G112" s="369">
        <f t="shared" si="153"/>
        <v>3008750.4525413048</v>
      </c>
      <c r="H112" s="366">
        <f t="shared" si="154"/>
        <v>27.570699811624859</v>
      </c>
      <c r="I112" s="366">
        <f t="shared" si="166"/>
        <v>22.392647448502853</v>
      </c>
      <c r="J112" s="354">
        <f t="shared" si="173"/>
        <v>0.81219002787376682</v>
      </c>
      <c r="K112" s="368">
        <f t="shared" si="174"/>
        <v>21.623895354625478</v>
      </c>
      <c r="L112" s="367"/>
      <c r="N112" t="s">
        <v>25</v>
      </c>
      <c r="T112" s="365" t="s">
        <v>25</v>
      </c>
      <c r="U112" s="365"/>
      <c r="V112" s="365"/>
      <c r="Y112" s="379"/>
      <c r="Z112" s="379"/>
      <c r="AA112" s="379"/>
      <c r="AB112" s="379"/>
      <c r="AC112" s="379"/>
    </row>
    <row r="113" spans="1:35" ht="21">
      <c r="A113" s="330" t="s">
        <v>6827</v>
      </c>
      <c r="B113" s="330" t="s">
        <v>6808</v>
      </c>
      <c r="C113" s="344">
        <v>15990</v>
      </c>
      <c r="D113" s="333">
        <v>1</v>
      </c>
      <c r="E113" s="346" t="s">
        <v>6828</v>
      </c>
      <c r="F113" s="333">
        <v>10912</v>
      </c>
      <c r="G113" s="333">
        <f>C113*D113*0.99885/(F113*1.00115)</f>
        <v>1.4619927827133694</v>
      </c>
      <c r="H113" s="330">
        <f t="shared" si="154"/>
        <v>1.4653592375366569</v>
      </c>
      <c r="I113" s="330">
        <f>$O$36/$O$39</f>
        <v>1.2045161290322581</v>
      </c>
      <c r="J113" s="28">
        <f t="shared" si="167"/>
        <v>0.82199374609130715</v>
      </c>
      <c r="K113" s="230">
        <f>(1/J113-1.0046)*100</f>
        <v>21.195426790670481</v>
      </c>
      <c r="L113" s="228"/>
      <c r="O113" t="s">
        <v>25</v>
      </c>
      <c r="T113" s="365"/>
      <c r="U113" s="365"/>
      <c r="V113" s="365"/>
      <c r="Y113" s="379"/>
      <c r="Z113" s="379"/>
      <c r="AA113" s="379"/>
      <c r="AB113" s="379"/>
      <c r="AC113" s="379"/>
    </row>
    <row r="114" spans="1:35" ht="21">
      <c r="A114" s="330"/>
      <c r="B114" s="330"/>
      <c r="C114" s="344"/>
      <c r="D114" s="333"/>
      <c r="E114" s="345"/>
      <c r="F114" s="301"/>
      <c r="G114" s="301"/>
      <c r="H114" s="225"/>
      <c r="I114" s="225"/>
      <c r="J114" s="28"/>
      <c r="K114" s="230"/>
      <c r="L114" s="228"/>
      <c r="O114" t="s">
        <v>25</v>
      </c>
      <c r="T114" s="365"/>
      <c r="U114" s="365"/>
      <c r="V114" s="365"/>
      <c r="Y114" s="379"/>
      <c r="Z114" s="379"/>
      <c r="AA114" s="379"/>
      <c r="AB114" s="379"/>
      <c r="AC114" s="379"/>
    </row>
    <row r="115" spans="1:35" ht="27" customHeight="1">
      <c r="A115" s="330"/>
      <c r="B115" s="330"/>
      <c r="C115" s="344"/>
      <c r="D115" s="333"/>
      <c r="E115" s="339"/>
      <c r="F115" s="339"/>
      <c r="G115" s="329"/>
      <c r="H115" s="339"/>
      <c r="I115" s="339"/>
      <c r="J115" s="339"/>
      <c r="K115" s="340"/>
      <c r="L115" s="339"/>
      <c r="N115" t="s">
        <v>25</v>
      </c>
      <c r="R115" t="s">
        <v>25</v>
      </c>
      <c r="T115" s="365"/>
      <c r="U115" s="365"/>
      <c r="V115" s="365"/>
      <c r="Y115" s="379"/>
      <c r="Z115" s="379"/>
      <c r="AA115" s="379"/>
      <c r="AB115" s="379"/>
      <c r="AC115" s="379"/>
    </row>
    <row r="116" spans="1:35" ht="21">
      <c r="A116" s="225" t="s">
        <v>6770</v>
      </c>
      <c r="B116" s="225" t="s">
        <v>4134</v>
      </c>
      <c r="C116" s="224">
        <v>1196.5446937999241</v>
      </c>
      <c r="D116" s="225">
        <v>1.0981620718462823</v>
      </c>
      <c r="E116" s="313" t="s">
        <v>4400</v>
      </c>
      <c r="F116" s="313">
        <v>785.87</v>
      </c>
      <c r="G116" s="313">
        <f>C116*D116*0.9912/(F116*1.003631981)</f>
        <v>1.6513208201489087</v>
      </c>
      <c r="H116" s="313">
        <f>C116/F116</f>
        <v>1.5225733184876939</v>
      </c>
      <c r="I116" s="313" t="e">
        <f>$O$32/#REF!</f>
        <v>#REF!</v>
      </c>
      <c r="J116" s="313" t="e">
        <f>I116/H116</f>
        <v>#REF!</v>
      </c>
      <c r="K116" s="314" t="e">
        <f>(1/J116-1.0256)*100</f>
        <v>#REF!</v>
      </c>
      <c r="L116" s="313"/>
      <c r="T116" s="365" t="s">
        <v>25</v>
      </c>
      <c r="U116" s="365"/>
      <c r="V116" s="365"/>
      <c r="Y116" s="379"/>
      <c r="Z116" s="379"/>
      <c r="AA116" s="379"/>
      <c r="AB116" s="379"/>
      <c r="AC116" s="379"/>
      <c r="AG116" s="379"/>
      <c r="AH116" s="379"/>
      <c r="AI116" s="379"/>
    </row>
    <row r="117" spans="1:35" ht="21">
      <c r="A117" s="225"/>
      <c r="B117" s="225"/>
      <c r="C117" s="224"/>
      <c r="D117" s="225"/>
      <c r="E117" s="313"/>
      <c r="F117" s="313"/>
      <c r="G117" s="313"/>
      <c r="H117" s="313"/>
      <c r="I117" s="313"/>
      <c r="J117" s="313"/>
      <c r="K117" s="314"/>
      <c r="L117" s="313"/>
      <c r="N117" t="s">
        <v>25</v>
      </c>
      <c r="P117" t="s">
        <v>25</v>
      </c>
      <c r="T117" s="365"/>
      <c r="U117" s="365"/>
      <c r="Y117" s="379"/>
      <c r="Z117" s="379"/>
      <c r="AA117" s="379"/>
      <c r="AB117" s="379"/>
      <c r="AC117" s="379"/>
      <c r="AG117" s="379"/>
      <c r="AH117" s="379"/>
      <c r="AI117" s="379"/>
    </row>
    <row r="118" spans="1:35">
      <c r="A118" s="306" t="s">
        <v>5281</v>
      </c>
      <c r="B118" s="28"/>
      <c r="C118" s="1"/>
      <c r="D118" s="28"/>
      <c r="E118" s="28"/>
      <c r="F118" s="1"/>
      <c r="G118" s="28"/>
      <c r="H118" s="28"/>
      <c r="I118" s="28"/>
      <c r="J118" s="28"/>
      <c r="K118" s="28"/>
      <c r="L118" s="28"/>
      <c r="P118" t="s">
        <v>25</v>
      </c>
      <c r="T118" s="365"/>
      <c r="U118" s="365"/>
      <c r="Y118" s="379"/>
      <c r="Z118" s="379"/>
      <c r="AA118" s="379"/>
      <c r="AB118" s="379"/>
      <c r="AC118" s="379"/>
      <c r="AG118" s="379"/>
      <c r="AH118" s="379"/>
      <c r="AI118" s="379"/>
    </row>
    <row r="119" spans="1:35" ht="15.75">
      <c r="A119" s="229" t="s">
        <v>6691</v>
      </c>
      <c r="B119" s="225" t="s">
        <v>4134</v>
      </c>
      <c r="C119" s="224">
        <v>1321.2985926207684</v>
      </c>
      <c r="D119" s="301">
        <v>19427.703263528358</v>
      </c>
      <c r="E119" s="227" t="s">
        <v>5139</v>
      </c>
      <c r="F119" s="226">
        <v>486.84610260918487</v>
      </c>
      <c r="G119" s="298">
        <f t="shared" ref="G119:G145" si="175">C119*D119*0.9912/(F119*1.003631981)</f>
        <v>52073.592214102442</v>
      </c>
      <c r="H119" s="227">
        <f t="shared" ref="H119:H145" si="176">C119/F119</f>
        <v>2.7139964468020796</v>
      </c>
      <c r="I119" s="227">
        <f t="shared" ref="I119:I145" si="177">$O$32/$O$33</f>
        <v>2.4023820481709275</v>
      </c>
      <c r="J119" s="227">
        <f>I119/H119</f>
        <v>0.88518245887966085</v>
      </c>
      <c r="K119" s="227">
        <f>(1/J119-1.0256)*100</f>
        <v>10.411059239657661</v>
      </c>
      <c r="L119" s="227"/>
      <c r="O119" t="s">
        <v>5357</v>
      </c>
      <c r="T119" s="365"/>
      <c r="Y119" s="379"/>
      <c r="Z119" s="379"/>
      <c r="AA119" s="379"/>
      <c r="AB119" s="379"/>
      <c r="AC119" s="379"/>
      <c r="AG119" s="379"/>
      <c r="AH119" s="379"/>
      <c r="AI119" s="379"/>
    </row>
    <row r="120" spans="1:35" ht="15.75">
      <c r="A120" s="229" t="s">
        <v>6695</v>
      </c>
      <c r="B120" s="225" t="s">
        <v>4134</v>
      </c>
      <c r="C120" s="224">
        <v>1322.2092050209205</v>
      </c>
      <c r="D120" s="301">
        <v>19425.955821644486</v>
      </c>
      <c r="E120" s="227" t="s">
        <v>5139</v>
      </c>
      <c r="F120" s="226">
        <v>486.84610260918487</v>
      </c>
      <c r="G120" s="298">
        <f t="shared" si="175"/>
        <v>52104.793252817217</v>
      </c>
      <c r="H120" s="227">
        <f t="shared" si="176"/>
        <v>2.7158668785366089</v>
      </c>
      <c r="I120" s="227">
        <f t="shared" si="177"/>
        <v>2.4023820481709275</v>
      </c>
      <c r="J120" s="227">
        <f>I120/H120</f>
        <v>0.88457282908704404</v>
      </c>
      <c r="K120" s="227">
        <f>(1/J120-1.0256)*100</f>
        <v>10.488916620250111</v>
      </c>
      <c r="L120" s="227"/>
      <c r="O120" t="s">
        <v>5358</v>
      </c>
      <c r="T120" t="s">
        <v>25</v>
      </c>
      <c r="Y120" s="379"/>
      <c r="Z120" s="379"/>
      <c r="AA120" s="379"/>
      <c r="AB120" s="379"/>
      <c r="AC120" s="379"/>
      <c r="AG120" s="379"/>
      <c r="AH120" s="379"/>
      <c r="AI120" s="379"/>
    </row>
    <row r="121" spans="1:35" ht="15.75">
      <c r="A121" s="229" t="s">
        <v>6695</v>
      </c>
      <c r="B121" s="225" t="s">
        <v>4134</v>
      </c>
      <c r="C121" s="224">
        <v>1323.1198174210726</v>
      </c>
      <c r="D121" s="301">
        <v>19424.208379760723</v>
      </c>
      <c r="E121" s="227" t="s">
        <v>5139</v>
      </c>
      <c r="F121" s="226">
        <v>486.84610260918487</v>
      </c>
      <c r="G121" s="298">
        <f t="shared" si="175"/>
        <v>52135.987835563828</v>
      </c>
      <c r="H121" s="227">
        <f t="shared" si="176"/>
        <v>2.7177373102711382</v>
      </c>
      <c r="I121" s="227">
        <f t="shared" si="177"/>
        <v>2.4023820481709275</v>
      </c>
      <c r="J121" s="227">
        <f t="shared" ref="J121:J137" si="178">I121/H121</f>
        <v>0.88396403842697036</v>
      </c>
      <c r="K121" s="227">
        <f t="shared" ref="K121:K137" si="179">(1/J121-1.0256)*100</f>
        <v>10.566774000842582</v>
      </c>
      <c r="L121" s="227"/>
      <c r="O121" t="s">
        <v>5359</v>
      </c>
      <c r="T121" s="365" t="s">
        <v>25</v>
      </c>
      <c r="Z121" s="379"/>
      <c r="AA121" s="379"/>
      <c r="AB121" s="379"/>
      <c r="AC121" s="379"/>
      <c r="AG121" s="379"/>
      <c r="AH121" s="379"/>
      <c r="AI121" s="379"/>
    </row>
    <row r="122" spans="1:35" ht="15.75">
      <c r="A122" s="229" t="s">
        <v>6695</v>
      </c>
      <c r="B122" s="225" t="s">
        <v>4134</v>
      </c>
      <c r="C122" s="224">
        <v>1324.0304298212247</v>
      </c>
      <c r="D122" s="301">
        <v>19422.460937876847</v>
      </c>
      <c r="E122" s="227" t="s">
        <v>5139</v>
      </c>
      <c r="F122" s="226">
        <v>486.84610260918487</v>
      </c>
      <c r="G122" s="298">
        <f t="shared" si="175"/>
        <v>52167.175962341658</v>
      </c>
      <c r="H122" s="227">
        <f t="shared" si="176"/>
        <v>2.7196077420056675</v>
      </c>
      <c r="I122" s="227">
        <f t="shared" si="177"/>
        <v>2.4023820481709275</v>
      </c>
      <c r="J122" s="227">
        <f t="shared" si="178"/>
        <v>0.88335608516807973</v>
      </c>
      <c r="K122" s="227">
        <f t="shared" si="179"/>
        <v>10.644631381435033</v>
      </c>
      <c r="L122" s="227"/>
      <c r="N122" t="s">
        <v>25</v>
      </c>
      <c r="O122" t="s">
        <v>5360</v>
      </c>
      <c r="T122" s="365" t="s">
        <v>25</v>
      </c>
      <c r="U122" s="196"/>
    </row>
    <row r="123" spans="1:35" ht="15.75">
      <c r="A123" s="229" t="s">
        <v>6695</v>
      </c>
      <c r="B123" s="225" t="s">
        <v>4134</v>
      </c>
      <c r="C123" s="224">
        <v>1324.9410422213771</v>
      </c>
      <c r="D123" s="301">
        <v>19420.713495993088</v>
      </c>
      <c r="E123" s="227" t="s">
        <v>5139</v>
      </c>
      <c r="F123" s="226">
        <v>486.84610260918487</v>
      </c>
      <c r="G123" s="298">
        <f t="shared" si="175"/>
        <v>52198.357633151354</v>
      </c>
      <c r="H123" s="227">
        <f t="shared" si="176"/>
        <v>2.7214781737401972</v>
      </c>
      <c r="I123" s="227">
        <f t="shared" si="177"/>
        <v>2.4023820481709275</v>
      </c>
      <c r="J123" s="227">
        <f t="shared" si="178"/>
        <v>0.88274896758377164</v>
      </c>
      <c r="K123" s="227">
        <f t="shared" si="179"/>
        <v>10.722488762027504</v>
      </c>
      <c r="L123" s="227"/>
      <c r="O123" t="s">
        <v>5361</v>
      </c>
      <c r="T123" s="365"/>
      <c r="U123" t="s">
        <v>25</v>
      </c>
      <c r="AI123" s="365"/>
    </row>
    <row r="124" spans="1:35" ht="15.75">
      <c r="A124" s="229" t="s">
        <v>6695</v>
      </c>
      <c r="B124" s="225" t="s">
        <v>4134</v>
      </c>
      <c r="C124" s="224">
        <v>1325.8516546215292</v>
      </c>
      <c r="D124" s="301">
        <v>19418.966054109322</v>
      </c>
      <c r="E124" s="227" t="s">
        <v>5139</v>
      </c>
      <c r="F124" s="226">
        <v>486.84610260918487</v>
      </c>
      <c r="G124" s="298">
        <f t="shared" si="175"/>
        <v>52229.532847992545</v>
      </c>
      <c r="H124" s="227">
        <f t="shared" si="176"/>
        <v>2.7233486054747265</v>
      </c>
      <c r="I124" s="227">
        <f t="shared" si="177"/>
        <v>2.4023820481709275</v>
      </c>
      <c r="J124" s="227">
        <f t="shared" si="178"/>
        <v>0.88214268395218942</v>
      </c>
      <c r="K124" s="227">
        <f t="shared" si="179"/>
        <v>10.800346142619954</v>
      </c>
      <c r="L124" s="227"/>
      <c r="O124" t="s">
        <v>5362</v>
      </c>
      <c r="T124" s="365"/>
      <c r="U124" t="s">
        <v>25</v>
      </c>
      <c r="Y124" t="s">
        <v>25</v>
      </c>
      <c r="AH124" t="s">
        <v>25</v>
      </c>
    </row>
    <row r="125" spans="1:35" ht="15.75">
      <c r="A125" s="229" t="s">
        <v>6695</v>
      </c>
      <c r="B125" s="225" t="s">
        <v>4134</v>
      </c>
      <c r="C125" s="224">
        <v>1326.7622670216813</v>
      </c>
      <c r="D125" s="301">
        <v>19417.21861222545</v>
      </c>
      <c r="E125" s="227" t="s">
        <v>5139</v>
      </c>
      <c r="F125" s="226">
        <v>486.84610260918487</v>
      </c>
      <c r="G125" s="298">
        <f t="shared" si="175"/>
        <v>52260.701606864997</v>
      </c>
      <c r="H125" s="227">
        <f t="shared" si="176"/>
        <v>2.7252190372092557</v>
      </c>
      <c r="I125" s="227">
        <f t="shared" si="177"/>
        <v>2.4023820481709275</v>
      </c>
      <c r="J125" s="227">
        <f t="shared" si="178"/>
        <v>0.88153723255620309</v>
      </c>
      <c r="K125" s="227">
        <f t="shared" si="179"/>
        <v>10.878203523212404</v>
      </c>
      <c r="L125" s="227"/>
      <c r="T125" s="365"/>
      <c r="U125" t="s">
        <v>25</v>
      </c>
      <c r="V125" t="s">
        <v>25</v>
      </c>
      <c r="X125" s="202" t="s">
        <v>5472</v>
      </c>
    </row>
    <row r="126" spans="1:35" ht="15.75">
      <c r="A126" s="229" t="s">
        <v>6695</v>
      </c>
      <c r="B126" s="225" t="s">
        <v>4134</v>
      </c>
      <c r="C126" s="224">
        <v>1327.6728794218334</v>
      </c>
      <c r="D126" s="301">
        <v>19415.471170341687</v>
      </c>
      <c r="E126" s="227" t="s">
        <v>5139</v>
      </c>
      <c r="F126" s="226">
        <v>486.84610260918487</v>
      </c>
      <c r="G126" s="298">
        <f t="shared" si="175"/>
        <v>52291.863909769265</v>
      </c>
      <c r="H126" s="227">
        <f t="shared" si="176"/>
        <v>2.727089468943785</v>
      </c>
      <c r="I126" s="227">
        <f t="shared" si="177"/>
        <v>2.4023820481709275</v>
      </c>
      <c r="J126" s="227">
        <f t="shared" si="178"/>
        <v>0.88093261168339365</v>
      </c>
      <c r="K126" s="227">
        <f t="shared" si="179"/>
        <v>10.956060903804854</v>
      </c>
      <c r="L126" s="227"/>
      <c r="O126" t="s">
        <v>25</v>
      </c>
      <c r="T126" s="365"/>
    </row>
    <row r="127" spans="1:35" ht="15.75">
      <c r="A127" s="229" t="s">
        <v>6695</v>
      </c>
      <c r="B127" s="225" t="s">
        <v>4134</v>
      </c>
      <c r="C127" s="224">
        <v>1339.5108406238114</v>
      </c>
      <c r="D127" s="301">
        <v>19415.316517360377</v>
      </c>
      <c r="E127" s="227" t="s">
        <v>5139</v>
      </c>
      <c r="F127" s="226">
        <v>491.15716618608906</v>
      </c>
      <c r="G127" s="298">
        <f t="shared" si="175"/>
        <v>52294.621540621032</v>
      </c>
      <c r="H127" s="227">
        <f t="shared" si="176"/>
        <v>2.7272550068348167</v>
      </c>
      <c r="I127" s="227">
        <f t="shared" si="177"/>
        <v>2.4023820481709275</v>
      </c>
      <c r="J127" s="227">
        <f t="shared" si="178"/>
        <v>0.88087914116952026</v>
      </c>
      <c r="K127" s="227">
        <f t="shared" si="179"/>
        <v>10.962951476899097</v>
      </c>
      <c r="L127" s="227"/>
      <c r="T127" s="365" t="s">
        <v>25</v>
      </c>
    </row>
    <row r="128" spans="1:35" ht="15.75">
      <c r="A128" s="229" t="s">
        <v>6695</v>
      </c>
      <c r="B128" s="225" t="s">
        <v>4134</v>
      </c>
      <c r="C128" s="224">
        <v>1328.5834918219855</v>
      </c>
      <c r="D128" s="301">
        <v>19413.723728457924</v>
      </c>
      <c r="E128" s="227" t="s">
        <v>5139</v>
      </c>
      <c r="F128" s="226">
        <v>486.84610260918487</v>
      </c>
      <c r="G128" s="298">
        <f t="shared" si="175"/>
        <v>52323.019756705064</v>
      </c>
      <c r="H128" s="227">
        <f t="shared" si="176"/>
        <v>2.7289599006783143</v>
      </c>
      <c r="I128" s="227">
        <f t="shared" si="177"/>
        <v>2.4023820481709275</v>
      </c>
      <c r="J128" s="227">
        <f t="shared" si="178"/>
        <v>0.88032881962603693</v>
      </c>
      <c r="K128" s="227">
        <f t="shared" si="179"/>
        <v>11.033918284397327</v>
      </c>
      <c r="L128" s="227"/>
      <c r="O128" t="s">
        <v>25</v>
      </c>
      <c r="T128" s="36" t="s">
        <v>25</v>
      </c>
      <c r="U128" t="s">
        <v>25</v>
      </c>
    </row>
    <row r="129" spans="1:23" ht="15.75">
      <c r="A129" s="229" t="s">
        <v>6695</v>
      </c>
      <c r="B129" s="225" t="s">
        <v>4134</v>
      </c>
      <c r="C129" s="224">
        <v>1340.4214530239635</v>
      </c>
      <c r="D129" s="301">
        <v>19413.584413404144</v>
      </c>
      <c r="E129" s="227" t="s">
        <v>5139</v>
      </c>
      <c r="F129" s="226">
        <v>491.15716618608906</v>
      </c>
      <c r="G129" s="298">
        <f t="shared" si="175"/>
        <v>52325.503383182368</v>
      </c>
      <c r="H129" s="227">
        <f t="shared" si="176"/>
        <v>2.7291090211154656</v>
      </c>
      <c r="I129" s="227">
        <f t="shared" si="177"/>
        <v>2.4023820481709275</v>
      </c>
      <c r="J129" s="227">
        <f t="shared" si="178"/>
        <v>0.88028071783992146</v>
      </c>
      <c r="K129" s="227">
        <f t="shared" si="179"/>
        <v>11.040125475183849</v>
      </c>
      <c r="L129" s="227"/>
      <c r="M129" t="s">
        <v>25</v>
      </c>
      <c r="T129" s="36" t="s">
        <v>25</v>
      </c>
      <c r="U129" t="s">
        <v>25</v>
      </c>
    </row>
    <row r="130" spans="1:23" ht="15.75">
      <c r="A130" s="229" t="s">
        <v>6695</v>
      </c>
      <c r="B130" s="225" t="s">
        <v>4134</v>
      </c>
      <c r="C130" s="224">
        <v>1329.4941042221378</v>
      </c>
      <c r="D130" s="301">
        <v>19411.976286574052</v>
      </c>
      <c r="E130" s="227" t="s">
        <v>5139</v>
      </c>
      <c r="F130" s="226">
        <v>486.84610260918487</v>
      </c>
      <c r="G130" s="298">
        <f t="shared" si="175"/>
        <v>52354.169147672117</v>
      </c>
      <c r="H130" s="227">
        <f t="shared" si="176"/>
        <v>2.730830332412844</v>
      </c>
      <c r="I130" s="227">
        <f t="shared" si="177"/>
        <v>2.4023820481709275</v>
      </c>
      <c r="J130" s="227">
        <f t="shared" si="178"/>
        <v>0.87972585468108755</v>
      </c>
      <c r="K130" s="227">
        <f t="shared" si="179"/>
        <v>11.111775664989798</v>
      </c>
      <c r="L130" s="227"/>
      <c r="O130" t="s">
        <v>25</v>
      </c>
      <c r="T130" s="365" t="s">
        <v>25</v>
      </c>
    </row>
    <row r="131" spans="1:23" ht="15.75">
      <c r="A131" s="229" t="s">
        <v>6695</v>
      </c>
      <c r="B131" s="225" t="s">
        <v>4134</v>
      </c>
      <c r="C131" s="224">
        <v>1341.3320654241156</v>
      </c>
      <c r="D131" s="301">
        <v>19411.852309447906</v>
      </c>
      <c r="E131" s="227" t="s">
        <v>5139</v>
      </c>
      <c r="F131" s="226">
        <v>491.15716618608906</v>
      </c>
      <c r="G131" s="298">
        <f t="shared" si="175"/>
        <v>52356.378882610574</v>
      </c>
      <c r="H131" s="227">
        <f t="shared" si="176"/>
        <v>2.7309630353961145</v>
      </c>
      <c r="I131" s="227">
        <f t="shared" si="177"/>
        <v>2.4023820481709275</v>
      </c>
      <c r="J131" s="227">
        <f t="shared" si="178"/>
        <v>0.87968310703351293</v>
      </c>
      <c r="K131" s="227">
        <f t="shared" si="179"/>
        <v>11.117299473468623</v>
      </c>
      <c r="L131" s="227"/>
      <c r="O131" t="s">
        <v>25</v>
      </c>
    </row>
    <row r="132" spans="1:23" ht="15.75">
      <c r="A132" s="229" t="s">
        <v>6695</v>
      </c>
      <c r="B132" s="225" t="s">
        <v>4134</v>
      </c>
      <c r="C132" s="224">
        <v>1330.4047166222899</v>
      </c>
      <c r="D132" s="301">
        <v>19410.228844690289</v>
      </c>
      <c r="E132" s="227" t="s">
        <v>5139</v>
      </c>
      <c r="F132" s="226">
        <v>486.84610260918487</v>
      </c>
      <c r="G132" s="298">
        <f t="shared" si="175"/>
        <v>52385.312082670993</v>
      </c>
      <c r="H132" s="227">
        <f t="shared" si="176"/>
        <v>2.7327007641473733</v>
      </c>
      <c r="I132" s="227">
        <f t="shared" si="177"/>
        <v>2.4023820481709275</v>
      </c>
      <c r="J132" s="227">
        <f t="shared" si="178"/>
        <v>0.87912371515016274</v>
      </c>
      <c r="K132" s="227">
        <f t="shared" si="179"/>
        <v>11.189633045582248</v>
      </c>
      <c r="L132" s="227"/>
      <c r="M132" t="s">
        <v>25</v>
      </c>
    </row>
    <row r="133" spans="1:23" ht="15.75">
      <c r="A133" s="229" t="s">
        <v>6695</v>
      </c>
      <c r="B133" s="225" t="s">
        <v>4134</v>
      </c>
      <c r="C133" s="224">
        <v>1331.315329022442</v>
      </c>
      <c r="D133" s="301">
        <v>19408.481402806523</v>
      </c>
      <c r="E133" s="227" t="s">
        <v>5139</v>
      </c>
      <c r="F133" s="226">
        <v>486.84610260918487</v>
      </c>
      <c r="G133" s="298">
        <f t="shared" si="175"/>
        <v>52416.448561701378</v>
      </c>
      <c r="H133" s="227">
        <f t="shared" si="176"/>
        <v>2.7345711958819026</v>
      </c>
      <c r="I133" s="227">
        <f t="shared" si="177"/>
        <v>2.4023820481709275</v>
      </c>
      <c r="J133" s="227">
        <f t="shared" si="178"/>
        <v>0.87852239933952658</v>
      </c>
      <c r="K133" s="227">
        <f t="shared" si="179"/>
        <v>11.267490426174698</v>
      </c>
      <c r="L133" s="227"/>
      <c r="M133" t="s">
        <v>25</v>
      </c>
      <c r="T133" t="s">
        <v>25</v>
      </c>
    </row>
    <row r="134" spans="1:23" ht="15.75">
      <c r="A134" s="229" t="s">
        <v>6695</v>
      </c>
      <c r="B134" s="225" t="s">
        <v>4134</v>
      </c>
      <c r="C134" s="224">
        <v>1342.2426778242677</v>
      </c>
      <c r="D134" s="301">
        <v>19410.120205491785</v>
      </c>
      <c r="E134" s="227" t="s">
        <v>5139</v>
      </c>
      <c r="F134" s="226">
        <v>491.15716618608906</v>
      </c>
      <c r="G134" s="298">
        <f t="shared" si="175"/>
        <v>52387.248038905978</v>
      </c>
      <c r="H134" s="227">
        <f t="shared" si="176"/>
        <v>2.7328170496767634</v>
      </c>
      <c r="I134" s="227">
        <f t="shared" si="177"/>
        <v>2.4023820481709275</v>
      </c>
      <c r="J134" s="227">
        <f t="shared" si="178"/>
        <v>0.87908630709658386</v>
      </c>
      <c r="K134" s="227">
        <f t="shared" si="179"/>
        <v>11.194473471753374</v>
      </c>
      <c r="L134" s="227"/>
      <c r="U134" s="365"/>
      <c r="W134" t="s">
        <v>25</v>
      </c>
    </row>
    <row r="135" spans="1:23" ht="15.75">
      <c r="A135" s="229" t="s">
        <v>6695</v>
      </c>
      <c r="B135" s="225" t="s">
        <v>4134</v>
      </c>
      <c r="C135" s="224">
        <v>1332.2259414225941</v>
      </c>
      <c r="D135" s="301">
        <v>19406.733960922651</v>
      </c>
      <c r="E135" s="227" t="s">
        <v>5139</v>
      </c>
      <c r="F135" s="226">
        <v>486.84610260918487</v>
      </c>
      <c r="G135" s="298">
        <f t="shared" si="175"/>
        <v>52447.578584763025</v>
      </c>
      <c r="H135" s="227">
        <f t="shared" si="176"/>
        <v>2.7364416276164318</v>
      </c>
      <c r="I135" s="227">
        <f t="shared" si="177"/>
        <v>2.4023820481709275</v>
      </c>
      <c r="J135" s="227">
        <f t="shared" si="178"/>
        <v>0.87792190556007377</v>
      </c>
      <c r="K135" s="227">
        <f t="shared" si="179"/>
        <v>11.345347806767169</v>
      </c>
      <c r="L135" s="227"/>
      <c r="N135" t="s">
        <v>25</v>
      </c>
      <c r="T135" s="494"/>
      <c r="U135" s="365" t="s">
        <v>25</v>
      </c>
    </row>
    <row r="136" spans="1:23" ht="15.75">
      <c r="A136" s="229" t="s">
        <v>6695</v>
      </c>
      <c r="B136" s="225" t="s">
        <v>4134</v>
      </c>
      <c r="C136" s="224">
        <v>1343.1532902244201</v>
      </c>
      <c r="D136" s="301">
        <v>19408.388101535551</v>
      </c>
      <c r="E136" s="227" t="s">
        <v>5139</v>
      </c>
      <c r="F136" s="226">
        <v>491.15716618608906</v>
      </c>
      <c r="G136" s="298">
        <f t="shared" si="175"/>
        <v>52418.110852067955</v>
      </c>
      <c r="H136" s="227">
        <f t="shared" si="176"/>
        <v>2.7346710639574128</v>
      </c>
      <c r="I136" s="227">
        <f t="shared" si="177"/>
        <v>2.4023820481709275</v>
      </c>
      <c r="J136" s="227">
        <f t="shared" si="178"/>
        <v>0.87849031637990815</v>
      </c>
      <c r="K136" s="227">
        <f t="shared" si="179"/>
        <v>11.271647470038149</v>
      </c>
      <c r="L136" s="227"/>
      <c r="O136" t="s">
        <v>25</v>
      </c>
      <c r="T136" s="494"/>
      <c r="U136" s="365"/>
    </row>
    <row r="137" spans="1:23" ht="15.75">
      <c r="A137" s="229" t="s">
        <v>6695</v>
      </c>
      <c r="B137" s="225" t="s">
        <v>4134</v>
      </c>
      <c r="C137" s="224">
        <v>1333.1365538227462</v>
      </c>
      <c r="D137" s="301">
        <v>19404.986519038888</v>
      </c>
      <c r="E137" s="227" t="s">
        <v>5139</v>
      </c>
      <c r="F137" s="226">
        <v>486.84610260918487</v>
      </c>
      <c r="G137" s="298">
        <f t="shared" si="175"/>
        <v>52478.702151856487</v>
      </c>
      <c r="H137" s="227">
        <f t="shared" si="176"/>
        <v>2.7383120593509611</v>
      </c>
      <c r="I137" s="227">
        <f t="shared" si="177"/>
        <v>2.4023820481709275</v>
      </c>
      <c r="J137" s="227">
        <f t="shared" si="178"/>
        <v>0.87732223212731408</v>
      </c>
      <c r="K137" s="227">
        <f t="shared" si="179"/>
        <v>11.423205187359621</v>
      </c>
      <c r="L137" s="227"/>
      <c r="T137" s="494"/>
      <c r="U137" s="365"/>
    </row>
    <row r="138" spans="1:23" ht="15.75">
      <c r="A138" s="229" t="s">
        <v>6695</v>
      </c>
      <c r="B138" s="225" t="s">
        <v>4134</v>
      </c>
      <c r="C138" s="224">
        <v>1334.0471662228986</v>
      </c>
      <c r="D138" s="301">
        <v>15590.134724310776</v>
      </c>
      <c r="E138" s="227" t="s">
        <v>5139</v>
      </c>
      <c r="F138" s="226">
        <v>486.84610260918487</v>
      </c>
      <c r="G138" s="298">
        <f t="shared" si="175"/>
        <v>42190.644222022223</v>
      </c>
      <c r="H138" s="227">
        <f t="shared" si="176"/>
        <v>2.7401824910854908</v>
      </c>
      <c r="I138" s="227">
        <f t="shared" si="177"/>
        <v>2.4023820481709275</v>
      </c>
      <c r="J138" s="227">
        <f>I138/H138</f>
        <v>0.87672337736135675</v>
      </c>
      <c r="K138" s="227">
        <f>(1/J138-1.0256)*100</f>
        <v>11.501062567952092</v>
      </c>
      <c r="L138" s="227"/>
    </row>
    <row r="139" spans="1:23" ht="15.75">
      <c r="A139" s="229" t="s">
        <v>6706</v>
      </c>
      <c r="B139" s="225" t="s">
        <v>4134</v>
      </c>
      <c r="C139" s="224">
        <v>1331.315329022442</v>
      </c>
      <c r="D139" s="301">
        <v>31119.520462564746</v>
      </c>
      <c r="E139" s="227" t="s">
        <v>5139</v>
      </c>
      <c r="F139" s="226">
        <v>480</v>
      </c>
      <c r="G139" s="298">
        <f t="shared" si="175"/>
        <v>85243.130965768403</v>
      </c>
      <c r="H139" s="227">
        <f t="shared" si="176"/>
        <v>2.7735736021300874</v>
      </c>
      <c r="I139" s="227">
        <f t="shared" si="177"/>
        <v>2.4023820481709275</v>
      </c>
      <c r="J139" s="227">
        <f>I139/H139</f>
        <v>0.86616848614578423</v>
      </c>
      <c r="K139" s="227">
        <f>(1/J139-1.0256)*100</f>
        <v>12.890979341182195</v>
      </c>
      <c r="L139" s="227"/>
      <c r="N139" t="s">
        <v>25</v>
      </c>
    </row>
    <row r="140" spans="1:23" ht="15.75">
      <c r="A140" s="229" t="s">
        <v>6714</v>
      </c>
      <c r="B140" s="225" t="s">
        <v>4134</v>
      </c>
      <c r="C140" s="224">
        <v>1282.1422594142259</v>
      </c>
      <c r="D140" s="301">
        <v>10981.620718462824</v>
      </c>
      <c r="E140" s="227" t="s">
        <v>5139</v>
      </c>
      <c r="F140" s="226">
        <v>460.7</v>
      </c>
      <c r="G140" s="298">
        <f t="shared" si="175"/>
        <v>30183.614406606379</v>
      </c>
      <c r="H140" s="227">
        <f t="shared" si="176"/>
        <v>2.7830307345652829</v>
      </c>
      <c r="I140" s="227">
        <f t="shared" si="177"/>
        <v>2.4023820481709275</v>
      </c>
      <c r="J140" s="227">
        <f>I140/H140</f>
        <v>0.86322512300468224</v>
      </c>
      <c r="K140" s="227">
        <f>(1/J140-1.0256)*100</f>
        <v>13.284635814031542</v>
      </c>
      <c r="L140" s="227"/>
      <c r="N140" t="s">
        <v>25</v>
      </c>
      <c r="T140" s="365"/>
    </row>
    <row r="141" spans="1:23" ht="15.75">
      <c r="A141" s="229" t="s">
        <v>6714</v>
      </c>
      <c r="B141" s="225" t="s">
        <v>4134</v>
      </c>
      <c r="C141" s="224">
        <v>1290.3377710155953</v>
      </c>
      <c r="D141" s="301">
        <v>10981.620718462824</v>
      </c>
      <c r="E141" s="227" t="s">
        <v>5139</v>
      </c>
      <c r="F141" s="226">
        <v>460.7</v>
      </c>
      <c r="G141" s="298">
        <f t="shared" si="175"/>
        <v>30376.549441875883</v>
      </c>
      <c r="H141" s="227">
        <f t="shared" si="176"/>
        <v>2.8008199935220217</v>
      </c>
      <c r="I141" s="227">
        <f t="shared" si="177"/>
        <v>2.4023820481709275</v>
      </c>
      <c r="J141" s="227">
        <f t="shared" ref="J141:J147" si="180">I141/H141</f>
        <v>0.85774239462991697</v>
      </c>
      <c r="K141" s="227">
        <f t="shared" ref="K141:K147" si="181">(1/J141-1.0256)*100</f>
        <v>14.025119991820123</v>
      </c>
      <c r="L141" s="227"/>
      <c r="M141" t="s">
        <v>25</v>
      </c>
    </row>
    <row r="142" spans="1:23" ht="15.75">
      <c r="A142" s="229" t="s">
        <v>6715</v>
      </c>
      <c r="B142" s="225" t="s">
        <v>4134</v>
      </c>
      <c r="C142" s="224">
        <v>1298.5332826169647</v>
      </c>
      <c r="D142" s="301">
        <v>29113.37468671679</v>
      </c>
      <c r="E142" s="227" t="s">
        <v>5139</v>
      </c>
      <c r="F142" s="226">
        <v>460.6</v>
      </c>
      <c r="G142" s="298">
        <f t="shared" si="175"/>
        <v>81060.355338675217</v>
      </c>
      <c r="H142" s="227">
        <f t="shared" si="176"/>
        <v>2.8192211954341393</v>
      </c>
      <c r="I142" s="227">
        <f t="shared" si="177"/>
        <v>2.4023820481709275</v>
      </c>
      <c r="J142" s="227">
        <f t="shared" si="180"/>
        <v>0.85214386585263258</v>
      </c>
      <c r="K142" s="227">
        <f t="shared" si="181"/>
        <v>14.791076510939426</v>
      </c>
      <c r="L142" s="227"/>
      <c r="O142" t="s">
        <v>25</v>
      </c>
    </row>
    <row r="143" spans="1:23" ht="15.75">
      <c r="A143" s="229" t="s">
        <v>6715</v>
      </c>
      <c r="B143" s="225" t="s">
        <v>4134</v>
      </c>
      <c r="C143" s="224">
        <v>1303.9969570178775</v>
      </c>
      <c r="D143" s="301">
        <v>5337.0676691729323</v>
      </c>
      <c r="E143" s="227" t="s">
        <v>5139</v>
      </c>
      <c r="F143" s="226">
        <v>460.1</v>
      </c>
      <c r="G143" s="298">
        <f t="shared" si="175"/>
        <v>14938.736108785723</v>
      </c>
      <c r="H143" s="227">
        <f t="shared" si="176"/>
        <v>2.8341598718058627</v>
      </c>
      <c r="I143" s="227">
        <f t="shared" si="177"/>
        <v>2.4023820481709275</v>
      </c>
      <c r="J143" s="227">
        <f t="shared" si="180"/>
        <v>0.84765226975011254</v>
      </c>
      <c r="K143" s="227">
        <f t="shared" si="181"/>
        <v>15.412904183315579</v>
      </c>
      <c r="L143" s="227"/>
    </row>
    <row r="144" spans="1:23" ht="15.75">
      <c r="A144" s="229" t="s">
        <v>6717</v>
      </c>
      <c r="B144" s="225" t="s">
        <v>4134</v>
      </c>
      <c r="C144" s="224">
        <v>1273.0361354127044</v>
      </c>
      <c r="D144" s="301">
        <v>10981.620718462824</v>
      </c>
      <c r="E144" s="227" t="s">
        <v>5139</v>
      </c>
      <c r="F144" s="226">
        <v>444</v>
      </c>
      <c r="G144" s="298">
        <f t="shared" si="175"/>
        <v>31096.463640296653</v>
      </c>
      <c r="H144" s="227">
        <f t="shared" si="176"/>
        <v>2.8671985031817666</v>
      </c>
      <c r="I144" s="227">
        <f t="shared" si="177"/>
        <v>2.4023820481709275</v>
      </c>
      <c r="J144" s="227">
        <f>I144/H144</f>
        <v>0.83788480131563048</v>
      </c>
      <c r="K144" s="227">
        <f>(1/J144-1.0256)*100</f>
        <v>16.788148866027797</v>
      </c>
      <c r="L144" s="227"/>
    </row>
    <row r="145" spans="1:20" ht="15.75">
      <c r="A145" s="229" t="s">
        <v>6717</v>
      </c>
      <c r="B145" s="225" t="s">
        <v>4134</v>
      </c>
      <c r="C145" s="224">
        <v>1273.0361354127044</v>
      </c>
      <c r="D145" s="301">
        <v>13177.944862155387</v>
      </c>
      <c r="E145" s="227" t="s">
        <v>5139</v>
      </c>
      <c r="F145" s="226">
        <v>442.97</v>
      </c>
      <c r="G145" s="298">
        <f t="shared" si="175"/>
        <v>37402.523483644611</v>
      </c>
      <c r="H145" s="227">
        <f t="shared" si="176"/>
        <v>2.8738653529871194</v>
      </c>
      <c r="I145" s="227">
        <f t="shared" si="177"/>
        <v>2.4023820481709275</v>
      </c>
      <c r="J145" s="227">
        <f>I145/H145</f>
        <v>0.83594105954681275</v>
      </c>
      <c r="K145" s="227">
        <f>(1/J145-1.0256)*100</f>
        <v>17.065658840364684</v>
      </c>
      <c r="L145" s="227"/>
    </row>
    <row r="146" spans="1:20" ht="15.75">
      <c r="A146" s="229"/>
      <c r="B146" s="225"/>
      <c r="C146" s="224"/>
      <c r="D146" s="301"/>
      <c r="E146" s="227"/>
      <c r="F146" s="226"/>
      <c r="G146" s="298"/>
      <c r="H146" s="227"/>
      <c r="I146" s="227"/>
      <c r="J146" s="227"/>
      <c r="K146" s="227"/>
      <c r="L146" s="227"/>
      <c r="N146" t="s">
        <v>25</v>
      </c>
    </row>
    <row r="147" spans="1:20" ht="15.75">
      <c r="A147" s="229"/>
      <c r="B147" s="225"/>
      <c r="C147" s="224"/>
      <c r="D147" s="301"/>
      <c r="E147" s="227"/>
      <c r="F147" s="226"/>
      <c r="G147" s="298"/>
      <c r="H147" s="227"/>
      <c r="I147" s="227">
        <f>$O$32/$O$33</f>
        <v>2.4023820481709275</v>
      </c>
      <c r="J147" s="227" t="e">
        <f t="shared" si="180"/>
        <v>#DIV/0!</v>
      </c>
      <c r="K147" s="227" t="e">
        <f t="shared" si="181"/>
        <v>#DIV/0!</v>
      </c>
      <c r="L147" s="227"/>
    </row>
    <row r="150" spans="1:20">
      <c r="O150" t="s">
        <v>25</v>
      </c>
    </row>
    <row r="151" spans="1:20">
      <c r="O151" t="s">
        <v>25</v>
      </c>
    </row>
    <row r="153" spans="1:20">
      <c r="N153" t="s">
        <v>25</v>
      </c>
      <c r="O153" t="s">
        <v>25</v>
      </c>
    </row>
    <row r="155" spans="1:20">
      <c r="K155" t="s">
        <v>25</v>
      </c>
    </row>
    <row r="156" spans="1:20">
      <c r="J156" t="s">
        <v>25</v>
      </c>
      <c r="N156" t="s">
        <v>25</v>
      </c>
    </row>
    <row r="158" spans="1:20">
      <c r="N158" t="s">
        <v>25</v>
      </c>
    </row>
    <row r="159" spans="1:20">
      <c r="T159" t="s">
        <v>25</v>
      </c>
    </row>
    <row r="160" spans="1:20">
      <c r="N160" t="s">
        <v>25</v>
      </c>
    </row>
    <row r="161" spans="1:23">
      <c r="N161" t="s">
        <v>25</v>
      </c>
      <c r="P161" t="s">
        <v>25</v>
      </c>
    </row>
    <row r="162" spans="1:23">
      <c r="N162" t="s">
        <v>25</v>
      </c>
    </row>
    <row r="165" spans="1:23">
      <c r="T165" s="491">
        <v>427061</v>
      </c>
      <c r="U165" s="491">
        <v>2617511</v>
      </c>
      <c r="V165">
        <v>2437975</v>
      </c>
      <c r="W165">
        <v>179537</v>
      </c>
    </row>
    <row r="166" spans="1:23">
      <c r="D166">
        <v>28000</v>
      </c>
      <c r="T166" s="491">
        <f>U166*T165/U165</f>
        <v>258283.61265072046</v>
      </c>
      <c r="U166" s="491">
        <v>1583053</v>
      </c>
      <c r="V166">
        <f>U166*V165/U165</f>
        <v>1474470.83801176</v>
      </c>
      <c r="W166">
        <f>U166*W165/U165</f>
        <v>108582.76678149585</v>
      </c>
    </row>
    <row r="167" spans="1:23">
      <c r="T167" s="491">
        <f>T165-T166</f>
        <v>168777.38734927954</v>
      </c>
      <c r="U167" s="491">
        <f>U165-U166</f>
        <v>1034458</v>
      </c>
      <c r="V167">
        <f>V165-V166</f>
        <v>963504.16198823997</v>
      </c>
      <c r="W167">
        <f>W165-W166</f>
        <v>70954.233218504145</v>
      </c>
    </row>
    <row r="168" spans="1:23">
      <c r="A168" t="s">
        <v>6569</v>
      </c>
      <c r="B168">
        <v>10330</v>
      </c>
      <c r="C168">
        <v>11900</v>
      </c>
      <c r="D168" s="7">
        <f t="shared" ref="D168:D190" si="182">B168*$D$166</f>
        <v>289240000</v>
      </c>
      <c r="E168" s="7">
        <f t="shared" ref="E168:E190" si="183">C168*$D$166</f>
        <v>333200000</v>
      </c>
      <c r="F168" s="7">
        <v>440000000</v>
      </c>
      <c r="G168">
        <f>(F168-E168)*100/E168</f>
        <v>32.052821128451377</v>
      </c>
    </row>
    <row r="169" spans="1:23">
      <c r="A169" t="s">
        <v>6570</v>
      </c>
      <c r="C169">
        <v>18000</v>
      </c>
      <c r="D169" s="7">
        <f t="shared" si="182"/>
        <v>0</v>
      </c>
      <c r="E169" s="7">
        <f t="shared" si="183"/>
        <v>504000000</v>
      </c>
      <c r="F169" s="7">
        <v>700000000</v>
      </c>
      <c r="G169">
        <f t="shared" ref="G169:G186" si="184">(F169-E169)*100/E169</f>
        <v>38.888888888888886</v>
      </c>
      <c r="O169" t="s">
        <v>25</v>
      </c>
    </row>
    <row r="170" spans="1:23">
      <c r="A170" t="s">
        <v>6571</v>
      </c>
      <c r="C170">
        <v>19000</v>
      </c>
      <c r="D170" s="7">
        <f t="shared" si="182"/>
        <v>0</v>
      </c>
      <c r="E170" s="7">
        <f t="shared" si="183"/>
        <v>532000000</v>
      </c>
      <c r="F170" s="7">
        <v>650000000</v>
      </c>
      <c r="G170">
        <f t="shared" si="184"/>
        <v>22.180451127819548</v>
      </c>
    </row>
    <row r="171" spans="1:23">
      <c r="A171" t="s">
        <v>6572</v>
      </c>
      <c r="C171">
        <v>23000</v>
      </c>
      <c r="D171" s="7">
        <f t="shared" si="182"/>
        <v>0</v>
      </c>
      <c r="E171" s="7">
        <f t="shared" si="183"/>
        <v>644000000</v>
      </c>
      <c r="F171" s="7">
        <v>930000000</v>
      </c>
      <c r="G171">
        <f t="shared" si="184"/>
        <v>44.409937888198755</v>
      </c>
    </row>
    <row r="172" spans="1:23">
      <c r="A172" t="s">
        <v>6573</v>
      </c>
      <c r="C172">
        <v>13000</v>
      </c>
      <c r="D172" s="7">
        <f t="shared" si="182"/>
        <v>0</v>
      </c>
      <c r="E172" s="7">
        <f t="shared" si="183"/>
        <v>364000000</v>
      </c>
      <c r="F172" s="7">
        <v>600000000</v>
      </c>
      <c r="G172">
        <f t="shared" si="184"/>
        <v>64.835164835164832</v>
      </c>
    </row>
    <row r="173" spans="1:23">
      <c r="A173" t="s">
        <v>6574</v>
      </c>
      <c r="C173">
        <v>13000</v>
      </c>
      <c r="D173" s="7">
        <f t="shared" si="182"/>
        <v>0</v>
      </c>
      <c r="E173" s="7">
        <f t="shared" si="183"/>
        <v>364000000</v>
      </c>
      <c r="F173" s="7">
        <v>400000000</v>
      </c>
      <c r="G173">
        <f t="shared" si="184"/>
        <v>9.8901098901098905</v>
      </c>
    </row>
    <row r="174" spans="1:23">
      <c r="A174" t="s">
        <v>6575</v>
      </c>
      <c r="C174">
        <v>13600</v>
      </c>
      <c r="D174" s="7">
        <f t="shared" si="182"/>
        <v>0</v>
      </c>
      <c r="E174" s="7">
        <f t="shared" si="183"/>
        <v>380800000</v>
      </c>
      <c r="F174" s="7">
        <v>520000000</v>
      </c>
      <c r="G174">
        <f t="shared" si="184"/>
        <v>36.554621848739494</v>
      </c>
    </row>
    <row r="175" spans="1:23">
      <c r="A175" t="s">
        <v>6576</v>
      </c>
      <c r="C175">
        <v>28000</v>
      </c>
      <c r="D175" s="7">
        <f t="shared" si="182"/>
        <v>0</v>
      </c>
      <c r="E175" s="7">
        <f t="shared" si="183"/>
        <v>784000000</v>
      </c>
      <c r="F175" s="7">
        <v>900000000</v>
      </c>
      <c r="G175">
        <f t="shared" si="184"/>
        <v>14.795918367346939</v>
      </c>
    </row>
    <row r="176" spans="1:23">
      <c r="A176" t="s">
        <v>6577</v>
      </c>
      <c r="C176">
        <v>19000</v>
      </c>
      <c r="D176" s="7">
        <f t="shared" si="182"/>
        <v>0</v>
      </c>
      <c r="E176" s="7">
        <f t="shared" si="183"/>
        <v>532000000</v>
      </c>
      <c r="F176" s="7">
        <v>700000000</v>
      </c>
      <c r="G176">
        <f t="shared" si="184"/>
        <v>31.578947368421051</v>
      </c>
    </row>
    <row r="177" spans="1:20">
      <c r="A177" t="s">
        <v>6578</v>
      </c>
      <c r="C177">
        <v>15000</v>
      </c>
      <c r="D177" s="7">
        <f t="shared" si="182"/>
        <v>0</v>
      </c>
      <c r="E177" s="7">
        <f t="shared" si="183"/>
        <v>420000000</v>
      </c>
      <c r="F177" s="7">
        <v>700000000</v>
      </c>
      <c r="G177">
        <f t="shared" si="184"/>
        <v>66.666666666666671</v>
      </c>
    </row>
    <row r="178" spans="1:20">
      <c r="A178" t="s">
        <v>6579</v>
      </c>
      <c r="C178">
        <v>21000</v>
      </c>
      <c r="D178" s="7">
        <f t="shared" si="182"/>
        <v>0</v>
      </c>
      <c r="E178" s="7">
        <f t="shared" si="183"/>
        <v>588000000</v>
      </c>
      <c r="F178" s="7">
        <v>700000000</v>
      </c>
      <c r="G178">
        <f t="shared" si="184"/>
        <v>19.047619047619047</v>
      </c>
      <c r="N178" t="s">
        <v>25</v>
      </c>
    </row>
    <row r="179" spans="1:20">
      <c r="A179" t="s">
        <v>6580</v>
      </c>
      <c r="C179">
        <v>17000</v>
      </c>
      <c r="D179" s="7">
        <f t="shared" si="182"/>
        <v>0</v>
      </c>
      <c r="E179" s="7">
        <f t="shared" si="183"/>
        <v>476000000</v>
      </c>
      <c r="F179" s="7">
        <v>700000000</v>
      </c>
      <c r="G179">
        <f t="shared" si="184"/>
        <v>47.058823529411768</v>
      </c>
    </row>
    <row r="180" spans="1:20">
      <c r="A180" t="s">
        <v>6581</v>
      </c>
      <c r="C180">
        <v>11000</v>
      </c>
      <c r="D180" s="7">
        <f t="shared" si="182"/>
        <v>0</v>
      </c>
      <c r="E180" s="7">
        <f t="shared" si="183"/>
        <v>308000000</v>
      </c>
      <c r="F180" s="7">
        <v>370000000</v>
      </c>
      <c r="G180">
        <f t="shared" si="184"/>
        <v>20.129870129870131</v>
      </c>
      <c r="O180" t="s">
        <v>25</v>
      </c>
    </row>
    <row r="181" spans="1:20">
      <c r="D181" s="7">
        <f t="shared" si="182"/>
        <v>0</v>
      </c>
      <c r="E181" s="7">
        <f t="shared" si="183"/>
        <v>0</v>
      </c>
      <c r="F181" s="7"/>
      <c r="G181" t="e">
        <f t="shared" si="184"/>
        <v>#DIV/0!</v>
      </c>
    </row>
    <row r="182" spans="1:20">
      <c r="D182" s="7">
        <f t="shared" si="182"/>
        <v>0</v>
      </c>
      <c r="E182" s="7">
        <f t="shared" si="183"/>
        <v>0</v>
      </c>
      <c r="F182" s="7"/>
      <c r="G182" t="e">
        <f t="shared" si="184"/>
        <v>#DIV/0!</v>
      </c>
    </row>
    <row r="183" spans="1:20">
      <c r="D183" s="7">
        <f t="shared" si="182"/>
        <v>0</v>
      </c>
      <c r="E183" s="7">
        <f t="shared" si="183"/>
        <v>0</v>
      </c>
      <c r="F183" s="7"/>
      <c r="G183" t="e">
        <f t="shared" si="184"/>
        <v>#DIV/0!</v>
      </c>
    </row>
    <row r="184" spans="1:20">
      <c r="D184" s="7">
        <f t="shared" si="182"/>
        <v>0</v>
      </c>
      <c r="E184" s="7">
        <f t="shared" si="183"/>
        <v>0</v>
      </c>
      <c r="F184" s="7"/>
      <c r="G184" t="e">
        <f t="shared" si="184"/>
        <v>#DIV/0!</v>
      </c>
    </row>
    <row r="185" spans="1:20">
      <c r="D185" s="7">
        <f t="shared" si="182"/>
        <v>0</v>
      </c>
      <c r="E185" s="7">
        <f t="shared" si="183"/>
        <v>0</v>
      </c>
      <c r="F185" s="7"/>
      <c r="G185" t="e">
        <f t="shared" si="184"/>
        <v>#DIV/0!</v>
      </c>
    </row>
    <row r="186" spans="1:20">
      <c r="D186" s="7">
        <f t="shared" si="182"/>
        <v>0</v>
      </c>
      <c r="E186" s="7">
        <f t="shared" si="183"/>
        <v>0</v>
      </c>
      <c r="F186" s="7"/>
      <c r="G186" t="e">
        <f t="shared" si="184"/>
        <v>#DIV/0!</v>
      </c>
    </row>
    <row r="187" spans="1:20">
      <c r="D187" s="7">
        <f t="shared" si="182"/>
        <v>0</v>
      </c>
      <c r="E187" s="7">
        <f t="shared" si="183"/>
        <v>0</v>
      </c>
    </row>
    <row r="188" spans="1:20">
      <c r="D188" s="7">
        <f t="shared" si="182"/>
        <v>0</v>
      </c>
      <c r="E188" s="7">
        <f t="shared" si="183"/>
        <v>0</v>
      </c>
      <c r="T188" t="s">
        <v>25</v>
      </c>
    </row>
    <row r="189" spans="1:20">
      <c r="D189" s="7">
        <f t="shared" si="182"/>
        <v>0</v>
      </c>
      <c r="E189" s="7">
        <f t="shared" si="183"/>
        <v>0</v>
      </c>
      <c r="O189" t="s">
        <v>25</v>
      </c>
    </row>
    <row r="190" spans="1:20">
      <c r="D190" s="7">
        <f t="shared" si="182"/>
        <v>0</v>
      </c>
      <c r="E190" s="7">
        <f t="shared" si="183"/>
        <v>0</v>
      </c>
    </row>
    <row r="196" spans="15:15">
      <c r="O196" t="s">
        <v>25</v>
      </c>
    </row>
    <row r="219" spans="14:14">
      <c r="N219" t="s">
        <v>25</v>
      </c>
    </row>
    <row r="221" spans="14:14">
      <c r="N221" t="s">
        <v>25</v>
      </c>
    </row>
  </sheetData>
  <phoneticPr fontId="24" type="noConversion"/>
  <conditionalFormatting sqref="K93:K147 K88:K91 K77 K82:K85 K1:K3 P77:Q79 K71:K75 L68:L70 K7:K67">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7:Q79">
    <cfRule type="cellIs" dxfId="10" priority="121" operator="lessThan">
      <formula>1</formula>
    </cfRule>
    <cfRule type="cellIs" dxfId="9" priority="122" operator="greaterThan">
      <formula>1</formula>
    </cfRule>
  </conditionalFormatting>
  <conditionalFormatting sqref="Q77:Q79">
    <cfRule type="cellIs" dxfId="8" priority="82" operator="lessThan">
      <formula>0</formula>
    </cfRule>
    <cfRule type="cellIs" dxfId="7" priority="83" operator="greaterThan">
      <formula>0</formula>
    </cfRule>
  </conditionalFormatting>
  <conditionalFormatting sqref="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1" t="s">
        <v>1007</v>
      </c>
      <c r="R21" s="591"/>
      <c r="S21" s="591"/>
      <c r="T21" s="591"/>
      <c r="W21" s="36" t="s">
        <v>4822</v>
      </c>
      <c r="X21" s="36">
        <v>9035210431</v>
      </c>
      <c r="Y21" s="36">
        <v>50</v>
      </c>
      <c r="Z21" s="36" t="s">
        <v>5082</v>
      </c>
      <c r="AA21" t="s">
        <v>4840</v>
      </c>
    </row>
    <row r="22" spans="5:30">
      <c r="O22" s="11"/>
      <c r="P22" s="11"/>
      <c r="Q22" s="591"/>
      <c r="R22" s="591"/>
      <c r="S22" s="591"/>
      <c r="T22" s="591"/>
      <c r="W22" s="36" t="s">
        <v>4908</v>
      </c>
      <c r="X22" s="36">
        <v>9909620343</v>
      </c>
      <c r="Y22" s="36">
        <v>200</v>
      </c>
      <c r="Z22" s="36" t="s">
        <v>5083</v>
      </c>
      <c r="AA22" t="s">
        <v>5086</v>
      </c>
      <c r="AB22" s="36" t="s">
        <v>5094</v>
      </c>
    </row>
    <row r="23" spans="5:30" ht="15.75">
      <c r="O23" s="123"/>
      <c r="P23" s="11" t="s">
        <v>3997</v>
      </c>
      <c r="Q23" s="592" t="s">
        <v>1008</v>
      </c>
      <c r="R23" s="593" t="s">
        <v>1009</v>
      </c>
      <c r="S23" s="592" t="s">
        <v>1010</v>
      </c>
      <c r="T23" s="594" t="s">
        <v>1011</v>
      </c>
      <c r="W23" s="36" t="s">
        <v>4909</v>
      </c>
      <c r="X23" s="36">
        <v>9378807702</v>
      </c>
      <c r="Y23" s="36">
        <v>0</v>
      </c>
      <c r="Z23" s="36">
        <v>0</v>
      </c>
      <c r="AD23" t="s">
        <v>25</v>
      </c>
    </row>
    <row r="24" spans="5:30">
      <c r="O24" s="11"/>
      <c r="P24" s="11"/>
      <c r="Q24" s="592"/>
      <c r="R24" s="593"/>
      <c r="S24" s="592"/>
      <c r="T24" s="59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5" t="s">
        <v>6071</v>
      </c>
      <c r="C1" s="595"/>
      <c r="D1" s="595" t="s">
        <v>6072</v>
      </c>
      <c r="E1" s="59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2003</v>
      </c>
      <c r="H4" s="37">
        <f>C4*G4</f>
        <v>590885000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2003</v>
      </c>
      <c r="H19" s="37">
        <f>C19*G19</f>
        <v>25910808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2023-10-08T09:25:09Z</dcterms:modified>
</cp:coreProperties>
</file>