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M6" i="60" l="1"/>
  <c r="W496" i="18" l="1"/>
  <c r="W495" i="18"/>
  <c r="F16" i="60"/>
  <c r="V154" i="18" l="1"/>
  <c r="W154" i="18" s="1"/>
  <c r="X154" i="18"/>
  <c r="S154" i="18"/>
  <c r="I34" i="63" l="1"/>
  <c r="J34" i="63" s="1"/>
  <c r="I29" i="63" l="1"/>
  <c r="I32" i="63"/>
  <c r="H29" i="63"/>
  <c r="G29" i="63"/>
  <c r="O36" i="18"/>
  <c r="J29" i="63" l="1"/>
  <c r="K29" i="63"/>
  <c r="AE29" i="60"/>
  <c r="Z43" i="60"/>
  <c r="Z42" i="60" s="1"/>
  <c r="Z41" i="60" s="1"/>
  <c r="Z40" i="60" s="1"/>
  <c r="Z39" i="60" s="1"/>
  <c r="Z38" i="60" s="1"/>
  <c r="Z37" i="60" s="1"/>
  <c r="Z36" i="60" s="1"/>
  <c r="Z35" i="60" s="1"/>
  <c r="Z34" i="60" s="1"/>
  <c r="Z33" i="60" s="1"/>
  <c r="Z32" i="60" s="1"/>
  <c r="Z31" i="60" s="1"/>
  <c r="Z30" i="60" s="1"/>
  <c r="Z29" i="60" s="1"/>
  <c r="AA29" i="60" s="1"/>
  <c r="AA37" i="60" l="1"/>
  <c r="AA36" i="60"/>
  <c r="AA38" i="60"/>
  <c r="AA43" i="60"/>
  <c r="AA35" i="60"/>
  <c r="AA42" i="60"/>
  <c r="AA33" i="60"/>
  <c r="AA41" i="60"/>
  <c r="AA40" i="60"/>
  <c r="AA39" i="60"/>
  <c r="AA34" i="60"/>
  <c r="AA32" i="60"/>
  <c r="AA31" i="60"/>
  <c r="AA30" i="60"/>
  <c r="I28" i="63"/>
  <c r="P24" i="63"/>
  <c r="AA46" i="60" l="1"/>
  <c r="D48" i="63"/>
  <c r="D49" i="63"/>
  <c r="D47" i="63"/>
  <c r="R198" i="18"/>
  <c r="K34" i="63"/>
  <c r="D58" i="63" l="1"/>
  <c r="B63" i="63" s="1"/>
  <c r="J32" i="63"/>
  <c r="I33" i="63"/>
  <c r="J33" i="63" s="1"/>
  <c r="K33" i="63" s="1"/>
  <c r="W494" i="18"/>
  <c r="R196" i="18"/>
  <c r="N46" i="18"/>
  <c r="R141" i="60" l="1"/>
  <c r="R140" i="60" s="1"/>
  <c r="R139" i="60" s="1"/>
  <c r="R135" i="60" s="1"/>
  <c r="R134" i="60" l="1"/>
  <c r="R133" i="60" s="1"/>
  <c r="S135" i="60"/>
  <c r="S134" i="60"/>
  <c r="E130" i="60"/>
  <c r="E131" i="60"/>
  <c r="E132" i="60"/>
  <c r="E133" i="60"/>
  <c r="E134" i="60"/>
  <c r="E135" i="60"/>
  <c r="G130" i="60"/>
  <c r="G131" i="60"/>
  <c r="G132" i="60"/>
  <c r="G133" i="60"/>
  <c r="G134" i="60"/>
  <c r="G135" i="60"/>
  <c r="C132" i="60"/>
  <c r="C133" i="60"/>
  <c r="C134" i="60"/>
  <c r="C135" i="60"/>
  <c r="C136" i="60"/>
  <c r="C137" i="60"/>
  <c r="C138" i="60"/>
  <c r="C139" i="60"/>
  <c r="B140" i="60" s="1"/>
  <c r="G140" i="60" s="1"/>
  <c r="C131" i="60"/>
  <c r="G137" i="60"/>
  <c r="G138" i="60"/>
  <c r="G139" i="60"/>
  <c r="G136" i="60"/>
  <c r="R132" i="60" l="1"/>
  <c r="S133" i="60"/>
  <c r="W493" i="18"/>
  <c r="Q22" i="63"/>
  <c r="P22" i="63"/>
  <c r="R131" i="60" l="1"/>
  <c r="S132" i="60"/>
  <c r="W492" i="18"/>
  <c r="W491" i="18"/>
  <c r="W490" i="18"/>
  <c r="G28" i="63"/>
  <c r="H28" i="63"/>
  <c r="Q35" i="63"/>
  <c r="P35" i="63"/>
  <c r="Q34" i="63"/>
  <c r="P34" i="63"/>
  <c r="J28" i="63" l="1"/>
  <c r="K28" i="63" s="1"/>
  <c r="R130" i="60"/>
  <c r="S131" i="60"/>
  <c r="W489" i="18"/>
  <c r="R129" i="60" l="1"/>
  <c r="S130" i="60"/>
  <c r="I27" i="63"/>
  <c r="I26" i="63"/>
  <c r="H27" i="63"/>
  <c r="N28" i="63" s="1"/>
  <c r="H26" i="63"/>
  <c r="I39" i="63"/>
  <c r="I40" i="63"/>
  <c r="I41" i="63"/>
  <c r="I42" i="63"/>
  <c r="I38" i="63"/>
  <c r="K32" i="63"/>
  <c r="I25" i="63"/>
  <c r="I30" i="63"/>
  <c r="I24" i="63"/>
  <c r="I23" i="63"/>
  <c r="H2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22" i="63"/>
  <c r="I10" i="63"/>
  <c r="I11" i="63"/>
  <c r="I12" i="63"/>
  <c r="I13" i="63"/>
  <c r="I14" i="63"/>
  <c r="I15" i="63"/>
  <c r="I16" i="63"/>
  <c r="I17" i="63"/>
  <c r="I18" i="63"/>
  <c r="I19" i="63"/>
  <c r="I20" i="63"/>
  <c r="I21" i="63"/>
  <c r="I9" i="63"/>
  <c r="I5" i="63"/>
  <c r="I6" i="63"/>
  <c r="I7" i="63"/>
  <c r="I8" i="63"/>
  <c r="I4" i="63"/>
  <c r="I2" i="63"/>
  <c r="I3" i="63"/>
  <c r="I1" i="63"/>
  <c r="R128" i="60" l="1"/>
  <c r="S129" i="60"/>
  <c r="P23" i="63"/>
  <c r="Q23" i="63"/>
  <c r="J26" i="63"/>
  <c r="J27" i="63"/>
  <c r="K27" i="63" s="1"/>
  <c r="G17" i="67"/>
  <c r="H17" i="67" s="1"/>
  <c r="J23" i="63"/>
  <c r="K23" i="63" s="1"/>
  <c r="L41" i="18"/>
  <c r="L42" i="18"/>
  <c r="R127" i="60" l="1"/>
  <c r="S128" i="60"/>
  <c r="L43" i="18"/>
  <c r="W488" i="18"/>
  <c r="G27" i="63"/>
  <c r="R126" i="60" l="1"/>
  <c r="S127" i="60"/>
  <c r="W487" i="18"/>
  <c r="W486" i="18"/>
  <c r="N29" i="18"/>
  <c r="O7" i="60"/>
  <c r="O9" i="60"/>
  <c r="O10" i="60"/>
  <c r="O11" i="60"/>
  <c r="O12" i="60"/>
  <c r="O13" i="60"/>
  <c r="O14" i="60"/>
  <c r="K26" i="63"/>
  <c r="G26" i="63"/>
  <c r="H25" i="63"/>
  <c r="G25" i="63"/>
  <c r="R125" i="60" l="1"/>
  <c r="S126" i="60"/>
  <c r="J25" i="63"/>
  <c r="K25" i="63" s="1"/>
  <c r="N26" i="63"/>
  <c r="E136" i="60"/>
  <c r="E138" i="60"/>
  <c r="E139" i="60"/>
  <c r="E140" i="60"/>
  <c r="E137" i="60"/>
  <c r="C140" i="60"/>
  <c r="R124" i="60" l="1"/>
  <c r="S125" i="60"/>
  <c r="W485"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23" i="60" l="1"/>
  <c r="S124" i="60"/>
  <c r="I3" i="65"/>
  <c r="I2" i="65"/>
  <c r="R122" i="60" l="1"/>
  <c r="S123" i="60"/>
  <c r="N7" i="60"/>
  <c r="N9" i="60"/>
  <c r="N10" i="60"/>
  <c r="N11" i="60"/>
  <c r="N12" i="60"/>
  <c r="N13" i="60"/>
  <c r="N14" i="60"/>
  <c r="R121" i="60" l="1"/>
  <c r="S122"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20" i="60" l="1"/>
  <c r="S121" i="60"/>
  <c r="S253" i="18"/>
  <c r="R119" i="60" l="1"/>
  <c r="S120" i="60"/>
  <c r="W484" i="18"/>
  <c r="R118" i="60" l="1"/>
  <c r="S119" i="60"/>
  <c r="W483" i="18"/>
  <c r="P23" i="18"/>
  <c r="N23" i="18" s="1"/>
  <c r="N51" i="18"/>
  <c r="R117" i="60" l="1"/>
  <c r="S118" i="60"/>
  <c r="F119" i="60"/>
  <c r="D119" i="60"/>
  <c r="D125" i="60" s="1"/>
  <c r="R116" i="60" l="1"/>
  <c r="S117" i="60"/>
  <c r="I120" i="60"/>
  <c r="R115" i="60" l="1"/>
  <c r="S116" i="60"/>
  <c r="F120" i="60"/>
  <c r="I121" i="60" s="1"/>
  <c r="F121" i="60" s="1"/>
  <c r="I122" i="60" s="1"/>
  <c r="W481" i="18"/>
  <c r="R114" i="60" l="1"/>
  <c r="S115" i="60"/>
  <c r="F122" i="60"/>
  <c r="F125" i="60" s="1"/>
  <c r="R113" i="60" l="1"/>
  <c r="S114" i="60"/>
  <c r="V172" i="18"/>
  <c r="AJ479" i="18"/>
  <c r="S113" i="60" l="1"/>
  <c r="R112" i="60"/>
  <c r="W480" i="18"/>
  <c r="W479" i="18"/>
  <c r="W478" i="18"/>
  <c r="V534" i="18"/>
  <c r="V535" i="18"/>
  <c r="W482" i="18"/>
  <c r="W501" i="18"/>
  <c r="W502" i="18"/>
  <c r="W503" i="18"/>
  <c r="W477" i="18"/>
  <c r="W476" i="18"/>
  <c r="P25" i="18"/>
  <c r="N25" i="18" s="1"/>
  <c r="N52" i="18"/>
  <c r="W396" i="18"/>
  <c r="R111" i="60" l="1"/>
  <c r="S112" i="60"/>
  <c r="S117" i="18"/>
  <c r="N45" i="18"/>
  <c r="H30" i="63"/>
  <c r="J30" i="63" s="1"/>
  <c r="K30" i="63" s="1"/>
  <c r="G30" i="63"/>
  <c r="S111" i="60" l="1"/>
  <c r="R110" i="60"/>
  <c r="D2" i="60"/>
  <c r="G8" i="60"/>
  <c r="N8" i="60" s="1"/>
  <c r="G6" i="60"/>
  <c r="N6" i="60" s="1"/>
  <c r="H3" i="60"/>
  <c r="H4" i="60"/>
  <c r="H5" i="60"/>
  <c r="H2" i="60"/>
  <c r="F2" i="60"/>
  <c r="R109" i="60" l="1"/>
  <c r="S110" i="60"/>
  <c r="W475" i="18"/>
  <c r="T3" i="64"/>
  <c r="T4" i="64"/>
  <c r="T5" i="64"/>
  <c r="T6" i="64"/>
  <c r="T7" i="64"/>
  <c r="T2" i="64"/>
  <c r="R108" i="60" l="1"/>
  <c r="S109" i="60"/>
  <c r="H306" i="18"/>
  <c r="W474" i="18"/>
  <c r="W473" i="18"/>
  <c r="AL244" i="18"/>
  <c r="AL243" i="18" s="1"/>
  <c r="AL242" i="18" s="1"/>
  <c r="S108" i="60" l="1"/>
  <c r="R107" i="60"/>
  <c r="W472" i="18"/>
  <c r="R106" i="60" l="1"/>
  <c r="S107" i="60"/>
  <c r="W471" i="18"/>
  <c r="G20" i="63"/>
  <c r="H20" i="63"/>
  <c r="G21" i="63"/>
  <c r="H21" i="63"/>
  <c r="N21" i="63" s="1"/>
  <c r="U2" i="63"/>
  <c r="R105" i="60" l="1"/>
  <c r="S106" i="60"/>
  <c r="J20" i="63"/>
  <c r="K20" i="63" s="1"/>
  <c r="J21" i="63"/>
  <c r="K21" i="63" s="1"/>
  <c r="G38" i="63"/>
  <c r="H38" i="63"/>
  <c r="J38" i="63" s="1"/>
  <c r="K38" i="63" s="1"/>
  <c r="V540" i="18"/>
  <c r="V539" i="18"/>
  <c r="V536" i="18"/>
  <c r="V538" i="18"/>
  <c r="V545" i="18"/>
  <c r="V537" i="18"/>
  <c r="R104" i="60" l="1"/>
  <c r="S105" i="60"/>
  <c r="X529" i="18"/>
  <c r="R321" i="18"/>
  <c r="R103" i="60" l="1"/>
  <c r="S104" i="60"/>
  <c r="W468" i="18"/>
  <c r="W469" i="18"/>
  <c r="W470" i="18"/>
  <c r="R102" i="60" l="1"/>
  <c r="S103" i="60"/>
  <c r="P22" i="18"/>
  <c r="R101" i="60" l="1"/>
  <c r="S102" i="60"/>
  <c r="W467" i="18"/>
  <c r="G22" i="63"/>
  <c r="R27" i="63" s="1"/>
  <c r="H22" i="63"/>
  <c r="J22" i="63" s="1"/>
  <c r="K22" i="63" s="1"/>
  <c r="R100" i="60" l="1"/>
  <c r="S101" i="60"/>
  <c r="G19" i="63"/>
  <c r="H19" i="63"/>
  <c r="R99" i="60" l="1"/>
  <c r="S100" i="60"/>
  <c r="J19" i="63"/>
  <c r="K19" i="63" s="1"/>
  <c r="W466" i="18"/>
  <c r="R98" i="60" l="1"/>
  <c r="S99" i="60"/>
  <c r="W465" i="18"/>
  <c r="G18" i="63"/>
  <c r="H18" i="63"/>
  <c r="G17" i="63"/>
  <c r="H17" i="63"/>
  <c r="R97" i="60" l="1"/>
  <c r="S98" i="60"/>
  <c r="J17" i="63"/>
  <c r="K17" i="63" s="1"/>
  <c r="N18" i="63"/>
  <c r="J18" i="63"/>
  <c r="K18" i="63" s="1"/>
  <c r="M7" i="60"/>
  <c r="M9" i="60"/>
  <c r="M10" i="60"/>
  <c r="M11" i="60"/>
  <c r="M12" i="60"/>
  <c r="M13" i="60"/>
  <c r="M14" i="60"/>
  <c r="S97" i="60" l="1"/>
  <c r="R96" i="60"/>
  <c r="G48" i="10"/>
  <c r="S96" i="60" l="1"/>
  <c r="R95" i="60"/>
  <c r="G16" i="63"/>
  <c r="H16" i="63"/>
  <c r="R94" i="60" l="1"/>
  <c r="S95" i="60"/>
  <c r="J16" i="63"/>
  <c r="K16" i="63" s="1"/>
  <c r="N17" i="63"/>
  <c r="B40" i="60"/>
  <c r="B37" i="60"/>
  <c r="R93" i="60" l="1"/>
  <c r="S94" i="60"/>
  <c r="G15" i="63"/>
  <c r="H15" i="63"/>
  <c r="R92" i="60" l="1"/>
  <c r="S93" i="60"/>
  <c r="J15" i="63"/>
  <c r="K15" i="63" s="1"/>
  <c r="H24" i="63"/>
  <c r="J24" i="63" s="1"/>
  <c r="K24" i="63" s="1"/>
  <c r="G24" i="63"/>
  <c r="G23" i="63"/>
  <c r="W464" i="18"/>
  <c r="S92" i="60" l="1"/>
  <c r="R91" i="60"/>
  <c r="N16" i="63"/>
  <c r="N24" i="63"/>
  <c r="G13" i="63"/>
  <c r="H13" i="63"/>
  <c r="G14" i="63"/>
  <c r="H14" i="63"/>
  <c r="W463" i="18"/>
  <c r="G11" i="63"/>
  <c r="H11" i="63"/>
  <c r="G12" i="63"/>
  <c r="H12" i="63"/>
  <c r="R90" i="60" l="1"/>
  <c r="S91" i="60"/>
  <c r="N13" i="63"/>
  <c r="J13" i="63"/>
  <c r="K13" i="63" s="1"/>
  <c r="N14" i="63"/>
  <c r="J14" i="63"/>
  <c r="K14" i="63" s="1"/>
  <c r="N15" i="63"/>
  <c r="N12" i="63"/>
  <c r="J12" i="63"/>
  <c r="K12" i="63" s="1"/>
  <c r="J11" i="63"/>
  <c r="K11" i="63" s="1"/>
  <c r="W462" i="18"/>
  <c r="U504" i="18"/>
  <c r="S90" i="60" l="1"/>
  <c r="R89" i="60"/>
  <c r="V173" i="18"/>
  <c r="T169" i="18" s="1"/>
  <c r="W461" i="18"/>
  <c r="G10" i="63"/>
  <c r="S89" i="60" l="1"/>
  <c r="R88" i="60"/>
  <c r="T167" i="18"/>
  <c r="P31" i="18"/>
  <c r="G4" i="67" s="1"/>
  <c r="W460" i="18"/>
  <c r="S88" i="60" l="1"/>
  <c r="R87" i="60"/>
  <c r="H4" i="67"/>
  <c r="H10" i="67" s="1"/>
  <c r="G19" i="67"/>
  <c r="H19" i="67" s="1"/>
  <c r="H23" i="67" s="1"/>
  <c r="W459" i="18"/>
  <c r="G8" i="63"/>
  <c r="H8" i="63"/>
  <c r="J8" i="63" s="1"/>
  <c r="K8" i="63" s="1"/>
  <c r="R86" i="60" l="1"/>
  <c r="S87" i="60"/>
  <c r="E26" i="67"/>
  <c r="H1" i="63"/>
  <c r="R85" i="60" l="1"/>
  <c r="S86" i="60"/>
  <c r="J1" i="63"/>
  <c r="K1" i="63" s="1"/>
  <c r="P142" i="60"/>
  <c r="S85" i="60" l="1"/>
  <c r="R84" i="60"/>
  <c r="W456" i="18"/>
  <c r="R83" i="60" l="1"/>
  <c r="S84" i="60"/>
  <c r="W455" i="18"/>
  <c r="R82" i="60" l="1"/>
  <c r="S83" i="60"/>
  <c r="H10" i="63"/>
  <c r="R81" i="60" l="1"/>
  <c r="S82" i="60"/>
  <c r="J10" i="63"/>
  <c r="K10" i="63" s="1"/>
  <c r="N11" i="63"/>
  <c r="F30" i="60"/>
  <c r="G30" i="60" s="1"/>
  <c r="R80" i="60" l="1"/>
  <c r="S81" i="60"/>
  <c r="G40" i="63"/>
  <c r="H40" i="63"/>
  <c r="J40" i="63" s="1"/>
  <c r="K40" i="63" s="1"/>
  <c r="G41" i="63"/>
  <c r="H41" i="63"/>
  <c r="J41" i="63" s="1"/>
  <c r="G42" i="63"/>
  <c r="H42" i="63"/>
  <c r="J42" i="63" s="1"/>
  <c r="K42" i="63" s="1"/>
  <c r="G39" i="63"/>
  <c r="H39" i="63"/>
  <c r="J39" i="63" s="1"/>
  <c r="K39" i="63" s="1"/>
  <c r="W454" i="18"/>
  <c r="R79" i="60" l="1"/>
  <c r="S80" i="60"/>
  <c r="K41" i="63"/>
  <c r="Q11" i="63"/>
  <c r="N42" i="63"/>
  <c r="N40" i="63"/>
  <c r="N41" i="63"/>
  <c r="N39" i="63"/>
  <c r="R78" i="60" l="1"/>
  <c r="S79" i="60"/>
  <c r="W453" i="18"/>
  <c r="P44" i="18"/>
  <c r="G5" i="63"/>
  <c r="H5" i="63"/>
  <c r="G6" i="63"/>
  <c r="H6" i="63"/>
  <c r="J6" i="63" s="1"/>
  <c r="K6" i="63" s="1"/>
  <c r="G7" i="63"/>
  <c r="H7" i="63"/>
  <c r="G2" i="63"/>
  <c r="H2" i="63"/>
  <c r="J2" i="63" s="1"/>
  <c r="K2" i="63" s="1"/>
  <c r="G3" i="63"/>
  <c r="H3" i="63"/>
  <c r="R77" i="60" l="1"/>
  <c r="S78" i="60"/>
  <c r="J7" i="63"/>
  <c r="K7" i="63" s="1"/>
  <c r="N20" i="63"/>
  <c r="J3" i="63"/>
  <c r="K3" i="63" s="1"/>
  <c r="J5" i="63"/>
  <c r="K5" i="63" s="1"/>
  <c r="N6" i="63"/>
  <c r="N7" i="63"/>
  <c r="N8" i="63"/>
  <c r="N3" i="63"/>
  <c r="W452" i="18"/>
  <c r="S77" i="60" l="1"/>
  <c r="R76" i="60"/>
  <c r="W451" i="18"/>
  <c r="R75" i="60" l="1"/>
  <c r="S76" i="60"/>
  <c r="D168" i="58"/>
  <c r="R74" i="60" l="1"/>
  <c r="S75" i="60"/>
  <c r="O473" i="52"/>
  <c r="J473" i="52"/>
  <c r="R73" i="60" l="1"/>
  <c r="S74" i="60"/>
  <c r="W446" i="18"/>
  <c r="W447" i="18"/>
  <c r="W448" i="18"/>
  <c r="W449" i="18"/>
  <c r="W450" i="18"/>
  <c r="W457" i="18"/>
  <c r="W458" i="18"/>
  <c r="AL478" i="18"/>
  <c r="AL477" i="18" s="1"/>
  <c r="O472" i="52"/>
  <c r="J472" i="52"/>
  <c r="R72" i="60" l="1"/>
  <c r="S73" i="60"/>
  <c r="AM477" i="18"/>
  <c r="AL476" i="18"/>
  <c r="AM478" i="18"/>
  <c r="R71" i="60" l="1"/>
  <c r="S72" i="60"/>
  <c r="AL475" i="18"/>
  <c r="AM476" i="18"/>
  <c r="AL466" i="18"/>
  <c r="R542" i="18"/>
  <c r="W445" i="18"/>
  <c r="W444" i="18"/>
  <c r="W443" i="18"/>
  <c r="W442" i="18"/>
  <c r="W441" i="18"/>
  <c r="J468" i="52"/>
  <c r="O468" i="52"/>
  <c r="R70" i="60" l="1"/>
  <c r="S71" i="60"/>
  <c r="AM475" i="18"/>
  <c r="AL474" i="18"/>
  <c r="AL465" i="18"/>
  <c r="AM466" i="18"/>
  <c r="G4" i="63"/>
  <c r="H4" i="63"/>
  <c r="N19" i="63" s="1"/>
  <c r="R69" i="60" l="1"/>
  <c r="S70" i="60"/>
  <c r="J4" i="63"/>
  <c r="K4" i="63" s="1"/>
  <c r="N5" i="63"/>
  <c r="AL473" i="18"/>
  <c r="AM474" i="18"/>
  <c r="AM465" i="18"/>
  <c r="AL464" i="18"/>
  <c r="R68" i="60" l="1"/>
  <c r="S69" i="60"/>
  <c r="AL472" i="18"/>
  <c r="AM473" i="18"/>
  <c r="AL463" i="18"/>
  <c r="AM464" i="18"/>
  <c r="R67" i="60" l="1"/>
  <c r="S68" i="60"/>
  <c r="AL471" i="18"/>
  <c r="AM472" i="18"/>
  <c r="AM463" i="18"/>
  <c r="AL462" i="18"/>
  <c r="O465" i="52"/>
  <c r="R66" i="60" l="1"/>
  <c r="S67" i="60"/>
  <c r="AM471" i="18"/>
  <c r="AL470" i="18"/>
  <c r="AL461" i="18"/>
  <c r="AM462" i="18"/>
  <c r="R65" i="60" l="1"/>
  <c r="S66"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64" i="60" l="1"/>
  <c r="S65"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63" i="60" l="1"/>
  <c r="S64" i="60"/>
  <c r="AM468" i="18"/>
  <c r="AL467" i="18"/>
  <c r="AM467" i="18" s="1"/>
  <c r="AM459" i="18"/>
  <c r="AL458" i="18"/>
  <c r="W435" i="18"/>
  <c r="W436" i="18"/>
  <c r="W437" i="18"/>
  <c r="W438" i="18"/>
  <c r="W439" i="18"/>
  <c r="W440" i="18"/>
  <c r="S63" i="60" l="1"/>
  <c r="R62" i="60"/>
  <c r="AL457" i="18"/>
  <c r="AM457" i="18" s="1"/>
  <c r="AM458" i="18"/>
  <c r="O454" i="52"/>
  <c r="J454" i="52"/>
  <c r="R61" i="60" l="1"/>
  <c r="S62" i="60"/>
  <c r="W434" i="18"/>
  <c r="G9" i="63"/>
  <c r="H9" i="63"/>
  <c r="R60" i="60" l="1"/>
  <c r="S61" i="60"/>
  <c r="J9" i="63"/>
  <c r="K9" i="63" s="1"/>
  <c r="N10" i="63"/>
  <c r="G126" i="18"/>
  <c r="J126" i="18" s="1"/>
  <c r="G125" i="18"/>
  <c r="J125" i="18" s="1"/>
  <c r="S60" i="60" l="1"/>
  <c r="R59" i="60"/>
  <c r="I129" i="18"/>
  <c r="W433" i="18"/>
  <c r="W432" i="18"/>
  <c r="R58" i="60" l="1"/>
  <c r="S59" i="60"/>
  <c r="W431" i="18"/>
  <c r="W430" i="18"/>
  <c r="S58" i="60" l="1"/>
  <c r="R57" i="60"/>
  <c r="W429" i="18"/>
  <c r="R17" i="63"/>
  <c r="R56" i="60" l="1"/>
  <c r="S57" i="60"/>
  <c r="W428" i="18"/>
  <c r="R55" i="60" l="1"/>
  <c r="S56" i="60"/>
  <c r="W427" i="18"/>
  <c r="R54" i="60" l="1"/>
  <c r="S55" i="60"/>
  <c r="W426" i="18"/>
  <c r="R53" i="60" l="1"/>
  <c r="S54" i="60"/>
  <c r="W425" i="18"/>
  <c r="R52" i="60" l="1"/>
  <c r="S53" i="60"/>
  <c r="W424" i="18"/>
  <c r="R51" i="60" l="1"/>
  <c r="S52"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23" i="18"/>
  <c r="R50" i="60" l="1"/>
  <c r="S51" i="60"/>
  <c r="P454" i="52"/>
  <c r="P456" i="52"/>
  <c r="P460" i="52"/>
  <c r="P453" i="52"/>
  <c r="P449" i="52"/>
  <c r="P445" i="52"/>
  <c r="P461" i="52"/>
  <c r="P452" i="52"/>
  <c r="P448" i="52"/>
  <c r="P459" i="52"/>
  <c r="P450" i="52"/>
  <c r="P446" i="52"/>
  <c r="P442" i="52"/>
  <c r="P457" i="52"/>
  <c r="P455" i="52"/>
  <c r="P451" i="52"/>
  <c r="P447" i="52"/>
  <c r="P462" i="52"/>
  <c r="P458" i="52"/>
  <c r="P444" i="52"/>
  <c r="P443" i="52"/>
  <c r="W422" i="18"/>
  <c r="R49" i="60" l="1"/>
  <c r="S50" i="60"/>
  <c r="W421" i="18"/>
  <c r="R48" i="60" l="1"/>
  <c r="S49" i="60"/>
  <c r="W420" i="18"/>
  <c r="R47" i="60" l="1"/>
  <c r="S48" i="60"/>
  <c r="W419" i="18"/>
  <c r="R46" i="60" l="1"/>
  <c r="S47" i="60"/>
  <c r="W418" i="18"/>
  <c r="R45" i="60" l="1"/>
  <c r="S46" i="60"/>
  <c r="G1" i="63"/>
  <c r="S45" i="60" l="1"/>
  <c r="R44" i="60"/>
  <c r="N2" i="63"/>
  <c r="W417" i="18"/>
  <c r="S44" i="60" l="1"/>
  <c r="R43" i="60"/>
  <c r="W416" i="18"/>
  <c r="R42" i="60" l="1"/>
  <c r="S43" i="60"/>
  <c r="W415" i="18"/>
  <c r="R18" i="63"/>
  <c r="R41" i="60" l="1"/>
  <c r="S42" i="60"/>
  <c r="W414" i="18"/>
  <c r="R40" i="60" l="1"/>
  <c r="S41" i="60"/>
  <c r="W413" i="18"/>
  <c r="R39" i="60" l="1"/>
  <c r="S40" i="60"/>
  <c r="W412" i="18"/>
  <c r="R38" i="60" l="1"/>
  <c r="S39" i="60"/>
  <c r="W411" i="18"/>
  <c r="R37" i="60" l="1"/>
  <c r="S38" i="60"/>
  <c r="I146" i="18"/>
  <c r="G146" i="18"/>
  <c r="W407" i="18"/>
  <c r="W410" i="18"/>
  <c r="R36" i="60" l="1"/>
  <c r="S37" i="60"/>
  <c r="W409" i="18"/>
  <c r="R35" i="60" l="1"/>
  <c r="S36" i="60"/>
  <c r="W408" i="18"/>
  <c r="R34" i="60" l="1"/>
  <c r="S35" i="60"/>
  <c r="W406" i="18"/>
  <c r="R33" i="60" l="1"/>
  <c r="S34" i="60"/>
  <c r="W405" i="18"/>
  <c r="R32" i="60" l="1"/>
  <c r="S33" i="60"/>
  <c r="W403" i="18"/>
  <c r="W402" i="18"/>
  <c r="W401" i="18"/>
  <c r="W398" i="18"/>
  <c r="W399" i="18"/>
  <c r="W400" i="18"/>
  <c r="W397" i="18"/>
  <c r="W404" i="18"/>
  <c r="R31" i="60" l="1"/>
  <c r="S32" i="60"/>
  <c r="W395" i="18"/>
  <c r="R30" i="60" l="1"/>
  <c r="S31" i="60"/>
  <c r="W394" i="18"/>
  <c r="S30" i="60" l="1"/>
  <c r="R29" i="60"/>
  <c r="R28" i="60" s="1"/>
  <c r="W393" i="18"/>
  <c r="S28" i="60" l="1"/>
  <c r="S29" i="60"/>
  <c r="W392" i="18"/>
  <c r="S142" i="60" l="1"/>
  <c r="W391" i="18"/>
  <c r="W390" i="18" l="1"/>
  <c r="W389" i="18"/>
  <c r="R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8"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7" i="18"/>
  <c r="W386" i="18" l="1"/>
  <c r="W385" i="18" l="1"/>
  <c r="W384" i="18" l="1"/>
  <c r="W383" i="18" l="1"/>
  <c r="W382" i="18"/>
  <c r="W381" i="18"/>
  <c r="W380" i="18"/>
  <c r="W379" i="18" l="1"/>
  <c r="W378" i="18" l="1"/>
  <c r="Q12" i="63" l="1"/>
  <c r="V523" i="18" l="1"/>
  <c r="R16" i="63" l="1"/>
  <c r="AM268" i="18" l="1"/>
  <c r="AM269" i="18"/>
  <c r="P30" i="18"/>
  <c r="N30" i="18" s="1"/>
  <c r="AM247" i="18" l="1"/>
  <c r="AM246" i="18" l="1"/>
  <c r="AM245" i="18" l="1"/>
  <c r="AM244" i="18" l="1"/>
  <c r="Q390" i="52"/>
  <c r="O390" i="52"/>
  <c r="J390" i="52"/>
  <c r="AM243" i="18" l="1"/>
  <c r="W377" i="18"/>
  <c r="AL241" i="18" l="1"/>
  <c r="AM242" i="18"/>
  <c r="AL240" i="18" l="1"/>
  <c r="AM241" i="18"/>
  <c r="W376" i="18"/>
  <c r="AL239" i="18" l="1"/>
  <c r="AM240" i="18"/>
  <c r="W375"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74" i="18"/>
  <c r="W373" i="18"/>
  <c r="W372" i="18"/>
  <c r="W371" i="18"/>
  <c r="W370" i="18"/>
  <c r="AL234" i="18" l="1"/>
  <c r="AM235" i="18"/>
  <c r="E8" i="60"/>
  <c r="M8" i="60" s="1"/>
  <c r="C8" i="60"/>
  <c r="O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5" i="18"/>
  <c r="W366" i="18"/>
  <c r="W367" i="18"/>
  <c r="W368" i="18"/>
  <c r="W369" i="18"/>
  <c r="AL230" i="18" l="1"/>
  <c r="AM231" i="18"/>
  <c r="W364" i="18"/>
  <c r="AL229" i="18" l="1"/>
  <c r="AM230" i="18"/>
  <c r="W363" i="18"/>
  <c r="AL228" i="18" l="1"/>
  <c r="AM229" i="18"/>
  <c r="W362"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61" i="18"/>
  <c r="P374" i="52" l="1"/>
  <c r="AL227" i="18"/>
  <c r="AM228" i="18"/>
  <c r="P375" i="52"/>
  <c r="P376" i="52"/>
  <c r="P368" i="52"/>
  <c r="P373" i="52"/>
  <c r="P372" i="52"/>
  <c r="P371" i="52"/>
  <c r="P370" i="52"/>
  <c r="P369" i="52"/>
  <c r="W360" i="18"/>
  <c r="AL226" i="18" l="1"/>
  <c r="AM227" i="18"/>
  <c r="AL225" i="18" l="1"/>
  <c r="AM226" i="18"/>
  <c r="AL224" i="18" l="1"/>
  <c r="AM225" i="18"/>
  <c r="AL223" i="18" l="1"/>
  <c r="AM224" i="18"/>
  <c r="W359"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8" i="18"/>
  <c r="AL217" i="18" l="1"/>
  <c r="AM218" i="18"/>
  <c r="AL453" i="18"/>
  <c r="AM454" i="18"/>
  <c r="W357" i="18"/>
  <c r="AL216" i="18" l="1"/>
  <c r="AM217" i="18"/>
  <c r="AM453" i="18"/>
  <c r="AL452" i="18"/>
  <c r="W356" i="18"/>
  <c r="AL215" i="18" l="1"/>
  <c r="AM216" i="18"/>
  <c r="AL451" i="18"/>
  <c r="AM452" i="18"/>
  <c r="M164" i="18"/>
  <c r="L164" i="18"/>
  <c r="W355" i="18"/>
  <c r="AL214" i="18" l="1"/>
  <c r="AM214" i="18" s="1"/>
  <c r="AM215" i="18"/>
  <c r="AM451" i="18"/>
  <c r="AL450" i="18"/>
  <c r="W354" i="18"/>
  <c r="AL449" i="18" l="1"/>
  <c r="AM450" i="18"/>
  <c r="W353"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52" i="18"/>
  <c r="AL443" i="18" l="1"/>
  <c r="AM444" i="18"/>
  <c r="G109" i="18"/>
  <c r="G108" i="18"/>
  <c r="W351" i="18"/>
  <c r="J347" i="52"/>
  <c r="AM443" i="18" l="1"/>
  <c r="AL442" i="18"/>
  <c r="L158" i="18"/>
  <c r="M158" i="18"/>
  <c r="M157" i="18"/>
  <c r="L157" i="18"/>
  <c r="W350" i="18"/>
  <c r="AM442" i="18" l="1"/>
  <c r="AL441" i="18"/>
  <c r="W349" i="18"/>
  <c r="AM441" i="18" l="1"/>
  <c r="AL440" i="18"/>
  <c r="AL439" i="18" l="1"/>
  <c r="AM440" i="18"/>
  <c r="AL438" i="18" l="1"/>
  <c r="AM439" i="18"/>
  <c r="W348" i="18" l="1"/>
  <c r="W347" i="18" l="1"/>
  <c r="W346" i="18" l="1"/>
  <c r="W345" i="18" l="1"/>
  <c r="N348" i="52"/>
  <c r="W344"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8" i="18" l="1"/>
  <c r="M109" i="18" s="1"/>
  <c r="D49" i="60" l="1"/>
  <c r="F49" i="60" s="1"/>
  <c r="D48" i="60"/>
  <c r="F48" i="60" s="1"/>
  <c r="J319" i="52" l="1"/>
  <c r="O319" i="52" l="1"/>
  <c r="W325" i="18" l="1"/>
  <c r="W343"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2" i="18"/>
  <c r="D418" i="15" l="1"/>
  <c r="F419" i="15"/>
  <c r="F418" i="15" l="1"/>
  <c r="D417" i="15"/>
  <c r="W341" i="18"/>
  <c r="O305" i="52"/>
  <c r="J305" i="52"/>
  <c r="D416" i="15" l="1"/>
  <c r="F417" i="15"/>
  <c r="D415" i="15" l="1"/>
  <c r="F416" i="15"/>
  <c r="W340" i="18"/>
  <c r="O302" i="52"/>
  <c r="F415" i="15" l="1"/>
  <c r="D414" i="15"/>
  <c r="G138" i="18"/>
  <c r="J139" i="18" s="1"/>
  <c r="D413" i="15" l="1"/>
  <c r="F414" i="15"/>
  <c r="D412" i="15" l="1"/>
  <c r="F413" i="15"/>
  <c r="W339" i="18"/>
  <c r="O301" i="52"/>
  <c r="J138" i="18"/>
  <c r="J141" i="18" l="1"/>
  <c r="L48" i="18" s="1"/>
  <c r="F412" i="15"/>
  <c r="D411" i="15"/>
  <c r="I141" i="18" l="1"/>
  <c r="D410" i="15"/>
  <c r="F411" i="15"/>
  <c r="W338" i="18"/>
  <c r="W337" i="18"/>
  <c r="J300" i="52"/>
  <c r="F410" i="15" l="1"/>
  <c r="D409" i="15"/>
  <c r="W336" i="18"/>
  <c r="O299" i="52"/>
  <c r="W335" i="18"/>
  <c r="W334" i="18"/>
  <c r="D408" i="15" l="1"/>
  <c r="F409" i="15"/>
  <c r="W333" i="18"/>
  <c r="W332" i="18"/>
  <c r="W331" i="18"/>
  <c r="N28" i="18"/>
  <c r="O298" i="52"/>
  <c r="D407" i="15" l="1"/>
  <c r="F408" i="15"/>
  <c r="J298" i="52"/>
  <c r="F407" i="15" l="1"/>
  <c r="D406" i="15"/>
  <c r="O297" i="52"/>
  <c r="W330" i="18"/>
  <c r="W329" i="18"/>
  <c r="W328" i="18"/>
  <c r="T525" i="18" l="1"/>
  <c r="T527" i="18" s="1"/>
  <c r="D405" i="15"/>
  <c r="F406" i="15"/>
  <c r="W327" i="18"/>
  <c r="J296" i="52"/>
  <c r="D404" i="15" l="1"/>
  <c r="F405" i="15"/>
  <c r="J295" i="52"/>
  <c r="F404" i="15" l="1"/>
  <c r="D403" i="15"/>
  <c r="W326"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4"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3"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22" i="18"/>
  <c r="D388" i="15" l="1"/>
  <c r="F389" i="15"/>
  <c r="J275" i="52"/>
  <c r="F388" i="15" l="1"/>
  <c r="D387" i="15"/>
  <c r="W321" i="18"/>
  <c r="D386" i="15" l="1"/>
  <c r="F387" i="15"/>
  <c r="J274" i="52"/>
  <c r="F386" i="15" l="1"/>
  <c r="D385" i="15"/>
  <c r="W320" i="18"/>
  <c r="D384" i="15" l="1"/>
  <c r="F385" i="15"/>
  <c r="J271" i="52"/>
  <c r="D383" i="15" l="1"/>
  <c r="F384" i="15"/>
  <c r="N47"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9" i="18"/>
  <c r="W31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6" i="18"/>
  <c r="W315" i="18"/>
  <c r="W314" i="18"/>
  <c r="D364" i="15" l="1"/>
  <c r="F365" i="15"/>
  <c r="O223" i="52"/>
  <c r="W313" i="18"/>
  <c r="F364" i="15" l="1"/>
  <c r="D363" i="15"/>
  <c r="J222" i="52"/>
  <c r="W312" i="18"/>
  <c r="D362" i="15" l="1"/>
  <c r="F363" i="15"/>
  <c r="W311" i="18"/>
  <c r="W310" i="18"/>
  <c r="D361" i="15" l="1"/>
  <c r="F362" i="15"/>
  <c r="O220" i="52"/>
  <c r="F361" i="15" l="1"/>
  <c r="D360" i="15"/>
  <c r="W309" i="18"/>
  <c r="W308"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6" i="18"/>
  <c r="F348" i="15" l="1"/>
  <c r="D347" i="15"/>
  <c r="O210" i="52"/>
  <c r="D346" i="15" l="1"/>
  <c r="F347" i="15"/>
  <c r="J210" i="52"/>
  <c r="D345" i="15" l="1"/>
  <c r="F346" i="15"/>
  <c r="J209" i="52"/>
  <c r="O208" i="52"/>
  <c r="J208" i="52"/>
  <c r="D344" i="15" l="1"/>
  <c r="F345" i="15"/>
  <c r="W305" i="18"/>
  <c r="F344" i="15" l="1"/>
  <c r="D343" i="15"/>
  <c r="O207" i="52"/>
  <c r="J207" i="52"/>
  <c r="W304" i="18"/>
  <c r="D342" i="15" l="1"/>
  <c r="F343" i="15"/>
  <c r="W303" i="18"/>
  <c r="D341" i="15" l="1"/>
  <c r="F342" i="15"/>
  <c r="W302" i="18"/>
  <c r="D340" i="15" l="1"/>
  <c r="F341" i="15"/>
  <c r="O204" i="52"/>
  <c r="F340" i="15" l="1"/>
  <c r="D339" i="15"/>
  <c r="J203" i="52"/>
  <c r="W30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300" i="18"/>
  <c r="W299" i="18"/>
  <c r="W298" i="18"/>
  <c r="J202" i="52"/>
  <c r="D336" i="15" l="1"/>
  <c r="F337" i="15"/>
  <c r="W297" i="18"/>
  <c r="J201" i="52"/>
  <c r="W296" i="18"/>
  <c r="F336" i="15" l="1"/>
  <c r="D335" i="15"/>
  <c r="J200" i="52"/>
  <c r="D334" i="15" l="1"/>
  <c r="F335" i="15"/>
  <c r="W295" i="18"/>
  <c r="F334" i="15" l="1"/>
  <c r="D333" i="15"/>
  <c r="D332" i="15" l="1"/>
  <c r="F333" i="15"/>
  <c r="F33" i="60"/>
  <c r="G33" i="60" s="1"/>
  <c r="F34" i="60"/>
  <c r="G34" i="60" s="1"/>
  <c r="F35" i="60"/>
  <c r="G35" i="60" s="1"/>
  <c r="F36" i="60"/>
  <c r="G36" i="60" s="1"/>
  <c r="F31" i="60"/>
  <c r="G31" i="60" s="1"/>
  <c r="F32" i="60"/>
  <c r="G32"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4" i="18"/>
  <c r="F330" i="15" l="1"/>
  <c r="D329" i="15"/>
  <c r="D328" i="15" l="1"/>
  <c r="F329" i="15"/>
  <c r="W293" i="18"/>
  <c r="D327" i="15" l="1"/>
  <c r="F328" i="15"/>
  <c r="AL213" i="18" l="1"/>
  <c r="F327" i="15"/>
  <c r="D326" i="15"/>
  <c r="AL212" i="18" l="1"/>
  <c r="AM213" i="18"/>
  <c r="F326" i="15"/>
  <c r="D325" i="15"/>
  <c r="J195" i="52"/>
  <c r="O195" i="52"/>
  <c r="J194" i="52"/>
  <c r="W292" i="18"/>
  <c r="AL211" i="18" l="1"/>
  <c r="AM212" i="18"/>
  <c r="F325" i="15"/>
  <c r="D324" i="15"/>
  <c r="N194" i="52"/>
  <c r="W291" i="18"/>
  <c r="W290" i="18"/>
  <c r="AL210" i="18" l="1"/>
  <c r="AM211" i="18"/>
  <c r="F324" i="15"/>
  <c r="D323" i="15"/>
  <c r="W289" i="18"/>
  <c r="AM210" i="18" l="1"/>
  <c r="AL209" i="18"/>
  <c r="F323" i="15"/>
  <c r="D322" i="15"/>
  <c r="R164" i="18"/>
  <c r="S164" i="18" s="1"/>
  <c r="AL208" i="18" l="1"/>
  <c r="AM209" i="18"/>
  <c r="F322" i="15"/>
  <c r="D321" i="15"/>
  <c r="W288" i="18"/>
  <c r="AM208" i="18" l="1"/>
  <c r="AL207" i="18"/>
  <c r="F321" i="15"/>
  <c r="D320" i="15"/>
  <c r="W287" i="18"/>
  <c r="O190" i="52"/>
  <c r="J190" i="52"/>
  <c r="AL206" i="18" l="1"/>
  <c r="AM207" i="18"/>
  <c r="F320" i="15"/>
  <c r="D319" i="15"/>
  <c r="W286" i="18"/>
  <c r="AM206" i="18" l="1"/>
  <c r="AL205" i="18"/>
  <c r="F319" i="15"/>
  <c r="D318" i="15"/>
  <c r="N55" i="18"/>
  <c r="N53" i="18"/>
  <c r="AM205" i="18" l="1"/>
  <c r="AL204" i="18"/>
  <c r="F318" i="15"/>
  <c r="D317" i="15"/>
  <c r="O187" i="52"/>
  <c r="W285" i="18"/>
  <c r="AM204" i="18" l="1"/>
  <c r="AL203" i="18"/>
  <c r="F317" i="15"/>
  <c r="D316" i="15"/>
  <c r="J186" i="52"/>
  <c r="W284" i="18"/>
  <c r="W272" i="18"/>
  <c r="W271" i="18"/>
  <c r="AM203" i="18" l="1"/>
  <c r="AL202" i="18"/>
  <c r="F316" i="15"/>
  <c r="D315" i="15"/>
  <c r="J185" i="52"/>
  <c r="W283" i="18"/>
  <c r="AM202" i="18" l="1"/>
  <c r="AL201" i="18"/>
  <c r="F315" i="15"/>
  <c r="D314" i="15"/>
  <c r="AL200" i="18" l="1"/>
  <c r="AM201" i="18"/>
  <c r="F314" i="15"/>
  <c r="D313" i="15"/>
  <c r="AL199" i="18" l="1"/>
  <c r="AM200" i="18"/>
  <c r="F313" i="15"/>
  <c r="D312" i="15"/>
  <c r="N181" i="52"/>
  <c r="AL198" i="18" l="1"/>
  <c r="AM199" i="18"/>
  <c r="F312" i="15"/>
  <c r="D311" i="15"/>
  <c r="W282" i="18"/>
  <c r="B8" i="36"/>
  <c r="AL197" i="18" l="1"/>
  <c r="AM198" i="18"/>
  <c r="F311" i="15"/>
  <c r="D310" i="15"/>
  <c r="O178" i="52"/>
  <c r="J178" i="52"/>
  <c r="AM197" i="18" l="1"/>
  <c r="AL196" i="18"/>
  <c r="F310" i="15"/>
  <c r="D309" i="15"/>
  <c r="N49" i="18"/>
  <c r="G147" i="18" s="1"/>
  <c r="W281" i="18"/>
  <c r="O177" i="52"/>
  <c r="J177" i="52"/>
  <c r="M108" i="18" l="1"/>
  <c r="G148" i="18"/>
  <c r="AM196" i="18"/>
  <c r="AL195" i="18"/>
  <c r="F309" i="15"/>
  <c r="D308" i="15"/>
  <c r="O176" i="52"/>
  <c r="J176" i="52"/>
  <c r="AM195" i="18" l="1"/>
  <c r="AL194" i="18"/>
  <c r="F308" i="15"/>
  <c r="D307" i="15"/>
  <c r="F307" i="15" s="1"/>
  <c r="AM194" i="18" l="1"/>
  <c r="AL193" i="18"/>
  <c r="J174" i="52"/>
  <c r="W280" i="18"/>
  <c r="AM193" i="18" l="1"/>
  <c r="AL192" i="18"/>
  <c r="J168" i="52"/>
  <c r="O168" i="52"/>
  <c r="W279" i="18"/>
  <c r="AM192" i="18" l="1"/>
  <c r="AL191" i="18"/>
  <c r="AM191" i="18" s="1"/>
  <c r="O167" i="52"/>
  <c r="W278" i="18"/>
  <c r="O166" i="52" l="1"/>
  <c r="W277" i="18"/>
  <c r="W276" i="18" l="1"/>
  <c r="O165" i="52"/>
  <c r="J165" i="52"/>
  <c r="C6" i="60" l="1"/>
  <c r="O6" i="60" s="1"/>
  <c r="D3" i="60"/>
  <c r="D4" i="60"/>
  <c r="AL437" i="18" l="1"/>
  <c r="AM438" i="18"/>
  <c r="O162" i="52"/>
  <c r="J162" i="52"/>
  <c r="W275"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74" i="18"/>
  <c r="AL433" i="18" l="1"/>
  <c r="AM434" i="18"/>
  <c r="W273" i="18"/>
  <c r="AM433" i="18" l="1"/>
  <c r="AL432" i="18"/>
  <c r="AL190" i="18"/>
  <c r="AL431" i="18" l="1"/>
  <c r="AM432" i="18"/>
  <c r="AL189" i="18"/>
  <c r="AM190" i="18"/>
  <c r="N159" i="52"/>
  <c r="P160" i="52" s="1"/>
  <c r="W270"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9" i="18"/>
  <c r="W268" i="18"/>
  <c r="O150" i="52"/>
  <c r="AL426" i="18" l="1"/>
  <c r="AM427" i="18"/>
  <c r="AM185" i="18"/>
  <c r="AL184" i="18"/>
  <c r="AL425" i="18" l="1"/>
  <c r="AM426" i="18"/>
  <c r="AL183" i="18"/>
  <c r="AM184" i="18"/>
  <c r="Q146" i="52"/>
  <c r="J146" i="52"/>
  <c r="W26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6" i="18"/>
  <c r="AM423" i="18" l="1"/>
  <c r="AL422" i="18"/>
  <c r="AM181" i="18"/>
  <c r="AL180" i="18"/>
  <c r="W265" i="18"/>
  <c r="AL421" i="18" l="1"/>
  <c r="AM422" i="18"/>
  <c r="AM180" i="18"/>
  <c r="AL179" i="18"/>
  <c r="O142" i="52"/>
  <c r="J142" i="52"/>
  <c r="W264" i="18"/>
  <c r="AL420" i="18" l="1"/>
  <c r="AM421" i="18"/>
  <c r="AM179" i="18"/>
  <c r="AL178" i="18"/>
  <c r="AM178" i="18" s="1"/>
  <c r="O140" i="52"/>
  <c r="J140" i="52"/>
  <c r="W263" i="18"/>
  <c r="AM420" i="18" l="1"/>
  <c r="AL419" i="18"/>
  <c r="W262" i="18"/>
  <c r="W261" i="18"/>
  <c r="O139" i="52"/>
  <c r="J139" i="52"/>
  <c r="AM419" i="18" l="1"/>
  <c r="AL418" i="18"/>
  <c r="W260" i="18"/>
  <c r="AM418" i="18" l="1"/>
  <c r="AL417" i="18"/>
  <c r="AM417" i="18" l="1"/>
  <c r="AL416" i="18"/>
  <c r="M41" i="52"/>
  <c r="AM416" i="18" l="1"/>
  <c r="AL415" i="18"/>
  <c r="O135" i="52"/>
  <c r="J135" i="52"/>
  <c r="AM415" i="18" l="1"/>
  <c r="AL414" i="18"/>
  <c r="AL413" i="18" l="1"/>
  <c r="AM414" i="18"/>
  <c r="W259" i="18"/>
  <c r="AL412" i="18" l="1"/>
  <c r="AM413" i="18"/>
  <c r="O132" i="52"/>
  <c r="W258" i="18"/>
  <c r="AM412" i="18" l="1"/>
  <c r="AL411" i="18"/>
  <c r="O131" i="52"/>
  <c r="L3" i="60"/>
  <c r="L4" i="60"/>
  <c r="L2" i="60"/>
  <c r="K8" i="60"/>
  <c r="K6" i="60"/>
  <c r="AL410" i="18" l="1"/>
  <c r="AM411" i="18"/>
  <c r="O130" i="52"/>
  <c r="O129" i="52"/>
  <c r="W257" i="18"/>
  <c r="W256" i="18"/>
  <c r="AL409" i="18" l="1"/>
  <c r="AM410" i="18"/>
  <c r="N129" i="52"/>
  <c r="AL408" i="18" l="1"/>
  <c r="AM409" i="18"/>
  <c r="O127" i="52"/>
  <c r="AL407" i="18" l="1"/>
  <c r="AM408" i="18"/>
  <c r="J126" i="52"/>
  <c r="O126" i="52"/>
  <c r="W255" i="18"/>
  <c r="AM407" i="18" l="1"/>
  <c r="AL406" i="18"/>
  <c r="O125" i="52"/>
  <c r="J125" i="52"/>
  <c r="AM406" i="18" l="1"/>
  <c r="AL405" i="18"/>
  <c r="W254"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3"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52" i="18"/>
  <c r="AM402" i="18" l="1"/>
  <c r="AL401" i="18"/>
  <c r="AM401" i="18" l="1"/>
  <c r="AL400" i="18"/>
  <c r="O121" i="52"/>
  <c r="J121" i="52"/>
  <c r="W251" i="18"/>
  <c r="AL399" i="18" l="1"/>
  <c r="AM400" i="18"/>
  <c r="W250" i="18"/>
  <c r="J120" i="52"/>
  <c r="AM399" i="18" l="1"/>
  <c r="AL398" i="18"/>
  <c r="AL397" i="18" l="1"/>
  <c r="AM398" i="18"/>
  <c r="O117" i="52"/>
  <c r="AM397" i="18" l="1"/>
  <c r="AL396" i="18"/>
  <c r="O116" i="52"/>
  <c r="N116" i="52"/>
  <c r="AM396" i="18" l="1"/>
  <c r="AL395" i="18"/>
  <c r="W249"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8" i="18"/>
  <c r="J108" i="52"/>
  <c r="AM387" i="18" l="1"/>
  <c r="AL386" i="18"/>
  <c r="D303" i="15"/>
  <c r="F303" i="15" s="1"/>
  <c r="W247" i="18"/>
  <c r="W246" i="18"/>
  <c r="AM386" i="18" l="1"/>
  <c r="AL385" i="18"/>
  <c r="D302" i="15"/>
  <c r="F302" i="15" s="1"/>
  <c r="O106" i="52"/>
  <c r="J106" i="52"/>
  <c r="AL384" i="18" l="1"/>
  <c r="AM385" i="18"/>
  <c r="D301" i="15"/>
  <c r="F301" i="15" s="1"/>
  <c r="J104" i="52"/>
  <c r="E276" i="15"/>
  <c r="E277" i="15"/>
  <c r="E278" i="15"/>
  <c r="E279" i="15"/>
  <c r="E280" i="15"/>
  <c r="AL383" i="18" l="1"/>
  <c r="AM384" i="18"/>
  <c r="D300" i="15"/>
  <c r="F300" i="15" s="1"/>
  <c r="W245" i="18"/>
  <c r="AL382" i="18" l="1"/>
  <c r="AM383" i="18"/>
  <c r="D299" i="15"/>
  <c r="F299" i="15" s="1"/>
  <c r="E6" i="60"/>
  <c r="P3" i="60"/>
  <c r="D6" i="60" s="1"/>
  <c r="F3" i="60"/>
  <c r="F4" i="60"/>
  <c r="F5" i="60"/>
  <c r="H8" i="60" l="1"/>
  <c r="H11" i="60"/>
  <c r="H12" i="60"/>
  <c r="H13" i="60"/>
  <c r="H14" i="60"/>
  <c r="F9" i="60"/>
  <c r="H9" i="60"/>
  <c r="H7" i="60"/>
  <c r="H10" i="60"/>
  <c r="H6" i="60"/>
  <c r="D8" i="60"/>
  <c r="L6" i="60"/>
  <c r="AL381" i="18"/>
  <c r="AM382" i="18"/>
  <c r="L13" i="60"/>
  <c r="D12" i="60"/>
  <c r="D10" i="60"/>
  <c r="D14" i="60"/>
  <c r="D9" i="60"/>
  <c r="D13" i="60"/>
  <c r="D7" i="60"/>
  <c r="D11" i="60"/>
  <c r="J7" i="60"/>
  <c r="L9" i="60"/>
  <c r="L14" i="60"/>
  <c r="L7" i="60"/>
  <c r="L11" i="60"/>
  <c r="L12" i="60"/>
  <c r="L10" i="60"/>
  <c r="L8" i="60"/>
  <c r="F7" i="60"/>
  <c r="D298" i="15"/>
  <c r="F298" i="15" s="1"/>
  <c r="F6" i="60"/>
  <c r="J12" i="60"/>
  <c r="F12" i="60"/>
  <c r="J19" i="60"/>
  <c r="J9" i="60"/>
  <c r="F11" i="60"/>
  <c r="J18" i="60"/>
  <c r="J8" i="60"/>
  <c r="F18" i="60"/>
  <c r="F8" i="60"/>
  <c r="J13" i="60"/>
  <c r="F19" i="60"/>
  <c r="F13" i="60"/>
  <c r="J20" i="60"/>
  <c r="J14" i="60"/>
  <c r="J10" i="60"/>
  <c r="F20" i="60"/>
  <c r="F14" i="60"/>
  <c r="F10" i="60"/>
  <c r="J6" i="60"/>
  <c r="J17" i="60"/>
  <c r="J11" i="60"/>
  <c r="W244" i="18"/>
  <c r="L22" i="60" l="1"/>
  <c r="D22" i="60"/>
  <c r="H22" i="60"/>
  <c r="F22"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L25"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43"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20" i="18"/>
  <c r="W242" i="18"/>
  <c r="W241" i="18"/>
  <c r="W240" i="18"/>
  <c r="M48" i="52"/>
  <c r="M47" i="52"/>
  <c r="N38" i="52"/>
  <c r="N37" i="52"/>
  <c r="M49" i="52"/>
  <c r="N50" i="52" s="1"/>
  <c r="AL370" i="18" l="1"/>
  <c r="AM371" i="18"/>
  <c r="D287" i="15"/>
  <c r="F287" i="15" s="1"/>
  <c r="N49" i="52"/>
  <c r="W239" i="18"/>
  <c r="AM370" i="18" l="1"/>
  <c r="AL369" i="18"/>
  <c r="D286" i="15"/>
  <c r="F286" i="15" s="1"/>
  <c r="AL368" i="18" l="1"/>
  <c r="AM369" i="18"/>
  <c r="D285" i="15"/>
  <c r="F285" i="15" s="1"/>
  <c r="W238"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7" i="18"/>
  <c r="AM366" i="18" l="1"/>
  <c r="AL365" i="18"/>
  <c r="D282" i="15"/>
  <c r="F282" i="15" s="1"/>
  <c r="G32" i="57"/>
  <c r="H32" i="57"/>
  <c r="D32" i="57"/>
  <c r="I32" i="57" s="1"/>
  <c r="D345" i="20"/>
  <c r="W236" i="18"/>
  <c r="W235"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34" i="18"/>
  <c r="D343" i="20"/>
  <c r="AL361" i="18" l="1"/>
  <c r="AM362" i="18"/>
  <c r="D278" i="15"/>
  <c r="F278" i="15" s="1"/>
  <c r="W233" i="18"/>
  <c r="D342" i="20"/>
  <c r="J83" i="52"/>
  <c r="O83" i="52"/>
  <c r="W232" i="18"/>
  <c r="W231" i="18"/>
  <c r="F44" i="14"/>
  <c r="F45" i="14"/>
  <c r="F46" i="14"/>
  <c r="F47" i="14"/>
  <c r="F48" i="14"/>
  <c r="F49" i="14"/>
  <c r="F50" i="14"/>
  <c r="D341" i="20"/>
  <c r="AL360" i="18" l="1"/>
  <c r="AM361" i="18"/>
  <c r="D277" i="15"/>
  <c r="F277" i="15" s="1"/>
  <c r="AM360" i="18" l="1"/>
  <c r="AL359" i="18"/>
  <c r="D276" i="15"/>
  <c r="F276" i="15" s="1"/>
  <c r="W230" i="18"/>
  <c r="AL358" i="18" l="1"/>
  <c r="AM359" i="18"/>
  <c r="D340" i="20"/>
  <c r="W229" i="18"/>
  <c r="H337" i="20"/>
  <c r="H338" i="20"/>
  <c r="H339" i="20"/>
  <c r="H340" i="20"/>
  <c r="H341" i="20"/>
  <c r="H368" i="20"/>
  <c r="H369" i="20"/>
  <c r="D339" i="20"/>
  <c r="AL357" i="18" l="1"/>
  <c r="AM358" i="18"/>
  <c r="B371" i="20"/>
  <c r="D332" i="20"/>
  <c r="D333" i="20"/>
  <c r="D334" i="20"/>
  <c r="D335" i="20"/>
  <c r="D336" i="20"/>
  <c r="D337" i="20"/>
  <c r="D338" i="20"/>
  <c r="D369" i="20"/>
  <c r="AL356" i="18" l="1"/>
  <c r="AM357" i="18"/>
  <c r="W228" i="18"/>
  <c r="D80" i="57"/>
  <c r="AL355" i="18" l="1"/>
  <c r="AM356" i="18"/>
  <c r="G46" i="10"/>
  <c r="AL354" i="18" l="1"/>
  <c r="AM355" i="18"/>
  <c r="D331" i="20"/>
  <c r="AL353" i="18" l="1"/>
  <c r="AM354" i="18"/>
  <c r="D330" i="20"/>
  <c r="AL352" i="18" l="1"/>
  <c r="AM353" i="18"/>
  <c r="W227" i="18"/>
  <c r="W226"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25" i="18"/>
  <c r="W224" i="18"/>
  <c r="AL340" i="18" l="1"/>
  <c r="AM341" i="18"/>
  <c r="R18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23" i="18"/>
  <c r="W222" i="18"/>
  <c r="L33" i="18"/>
  <c r="N36" i="52"/>
  <c r="N35" i="52"/>
  <c r="Q42" i="52"/>
  <c r="AL338" i="18" l="1"/>
  <c r="AM339" i="18"/>
  <c r="W221" i="18"/>
  <c r="W220"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9" i="18"/>
  <c r="W218" i="18"/>
  <c r="N32" i="52"/>
  <c r="N31" i="52"/>
  <c r="AL333" i="18" l="1"/>
  <c r="AM333" i="18" s="1"/>
  <c r="AM334" i="18"/>
  <c r="W217" i="18"/>
  <c r="W216" i="18"/>
  <c r="N30" i="52"/>
  <c r="N29" i="52"/>
  <c r="W215" i="18" l="1"/>
  <c r="W214" i="18"/>
  <c r="N28" i="52"/>
  <c r="N27" i="52"/>
  <c r="AL332" i="18" l="1"/>
  <c r="D313" i="20"/>
  <c r="AL331" i="18" l="1"/>
  <c r="AM332" i="18"/>
  <c r="L115" i="18"/>
  <c r="L110" i="18" l="1"/>
  <c r="N110" i="18" s="1"/>
  <c r="L112" i="18"/>
  <c r="N112" i="18" s="1"/>
  <c r="L111" i="18"/>
  <c r="N111" i="18" s="1"/>
  <c r="M115" i="18"/>
  <c r="AM331" i="18"/>
  <c r="AL330" i="18"/>
  <c r="L107" i="18"/>
  <c r="W213" i="18"/>
  <c r="W212"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11" i="18"/>
  <c r="W210" i="18"/>
  <c r="N23" i="52"/>
  <c r="N22" i="52"/>
  <c r="I368" i="20" l="1"/>
  <c r="G367" i="20"/>
  <c r="J368" i="20"/>
  <c r="K368" i="20"/>
  <c r="AL327" i="18"/>
  <c r="AM328" i="18"/>
  <c r="W209" i="18"/>
  <c r="W208"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7" i="18"/>
  <c r="W206"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205" i="18"/>
  <c r="W204" i="18"/>
  <c r="N17" i="52"/>
  <c r="N16" i="52"/>
  <c r="AL170" i="18" l="1"/>
  <c r="AM171" i="18"/>
  <c r="I356" i="20"/>
  <c r="G355" i="20"/>
  <c r="J356" i="20"/>
  <c r="K356" i="20"/>
  <c r="L108" i="18"/>
  <c r="AL169" i="18" l="1"/>
  <c r="AL168" i="18" s="1"/>
  <c r="AM170" i="18"/>
  <c r="J355" i="20"/>
  <c r="I355" i="20"/>
  <c r="G354" i="20"/>
  <c r="K355" i="20"/>
  <c r="W203" i="18"/>
  <c r="W202" i="18"/>
  <c r="D303" i="20"/>
  <c r="D302" i="20"/>
  <c r="W201"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9" i="18"/>
  <c r="AL163" i="18" l="1"/>
  <c r="AM164" i="18"/>
  <c r="I350" i="20"/>
  <c r="J350" i="20"/>
  <c r="K350" i="20"/>
  <c r="G349" i="20"/>
  <c r="D296" i="20"/>
  <c r="D295" i="20"/>
  <c r="AM163" i="18" l="1"/>
  <c r="AL162" i="18"/>
  <c r="K349" i="20"/>
  <c r="I349" i="20"/>
  <c r="J349" i="20"/>
  <c r="G348" i="20"/>
  <c r="W198" i="18"/>
  <c r="W197"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6" i="18"/>
  <c r="W195" i="18"/>
  <c r="AM161" i="18" l="1"/>
  <c r="AL160" i="18"/>
  <c r="G346" i="20"/>
  <c r="J347" i="20"/>
  <c r="I347" i="20"/>
  <c r="K347" i="20"/>
  <c r="D293" i="20"/>
  <c r="AL159" i="18" l="1"/>
  <c r="AM160" i="18"/>
  <c r="K346" i="20"/>
  <c r="G345" i="20"/>
  <c r="J346" i="20"/>
  <c r="I346" i="20"/>
  <c r="W194" i="18"/>
  <c r="AM159" i="18" l="1"/>
  <c r="AL158" i="18"/>
  <c r="K345" i="20"/>
  <c r="G344" i="20"/>
  <c r="J345" i="20"/>
  <c r="I345" i="20"/>
  <c r="D292" i="20"/>
  <c r="C8" i="36"/>
  <c r="W19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9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9" i="18"/>
  <c r="AM124" i="18" l="1"/>
  <c r="AL123" i="18"/>
  <c r="AM123" i="18" l="1"/>
  <c r="AL122" i="18"/>
  <c r="AL121" i="18" l="1"/>
  <c r="AM122" i="18"/>
  <c r="W183" i="18"/>
  <c r="W184" i="18"/>
  <c r="W185" i="18"/>
  <c r="W186" i="18"/>
  <c r="W187" i="18"/>
  <c r="W188" i="18"/>
  <c r="W200" i="18"/>
  <c r="W182" i="18"/>
  <c r="AM121" i="18" l="1"/>
  <c r="AL120" i="18"/>
  <c r="N54" i="18"/>
  <c r="AM120" i="18" l="1"/>
  <c r="AL119" i="18"/>
  <c r="AM119" i="18" l="1"/>
  <c r="AL118" i="18"/>
  <c r="S87" i="18"/>
  <c r="S88" i="18" s="1"/>
  <c r="S89" i="18" s="1"/>
  <c r="R188" i="18"/>
  <c r="R186" i="18"/>
  <c r="D57" i="51"/>
  <c r="AL117" i="18" l="1"/>
  <c r="AM118" i="18"/>
  <c r="S90" i="18"/>
  <c r="S91" i="18" s="1"/>
  <c r="AM117" i="18" l="1"/>
  <c r="AL116" i="18"/>
  <c r="S92" i="18"/>
  <c r="S93" i="18" s="1"/>
  <c r="N31" i="18"/>
  <c r="R185"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4" i="18" l="1"/>
  <c r="S95" i="18" s="1"/>
  <c r="S96" i="18" s="1"/>
  <c r="S97" i="18" s="1"/>
  <c r="AL113" i="18"/>
  <c r="AM114" i="18"/>
  <c r="S20" i="18"/>
  <c r="S21" i="18" s="1"/>
  <c r="AL112" i="18" l="1"/>
  <c r="AM113" i="18"/>
  <c r="Q159"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8" i="18" l="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84" i="18" s="1"/>
  <c r="I147" i="18" l="1"/>
  <c r="I148" i="18" s="1"/>
  <c r="M107" i="18"/>
  <c r="Q82"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0" i="18"/>
  <c r="G306" i="20"/>
  <c r="J307" i="20"/>
  <c r="I307" i="20"/>
  <c r="K307" i="20"/>
  <c r="AL75" i="18"/>
  <c r="AM76" i="18"/>
  <c r="S64" i="18" l="1"/>
  <c r="N107" i="18"/>
  <c r="N115" i="18" s="1"/>
  <c r="R183" i="18"/>
  <c r="R206" i="18" s="1"/>
  <c r="T507" i="18" s="1"/>
  <c r="V510" i="18" s="1"/>
  <c r="AJ276" i="18"/>
  <c r="AJ277" i="18" s="1"/>
  <c r="G305" i="20"/>
  <c r="I306" i="20"/>
  <c r="K306" i="20"/>
  <c r="J306" i="20"/>
  <c r="AL74" i="18"/>
  <c r="AM75" i="18"/>
  <c r="S65" i="18" l="1"/>
  <c r="S66" i="18" s="1"/>
  <c r="S67" i="18" s="1"/>
  <c r="U520" i="18"/>
  <c r="V520" i="18" s="1"/>
  <c r="G304" i="20"/>
  <c r="I305" i="20"/>
  <c r="K305" i="20"/>
  <c r="J305" i="20"/>
  <c r="AL73" i="18"/>
  <c r="AM74" i="18"/>
  <c r="R112" i="18"/>
  <c r="S68" i="18" l="1"/>
  <c r="V157" i="18"/>
  <c r="V158" i="18"/>
  <c r="V67" i="18"/>
  <c r="V66" i="18"/>
  <c r="V65" i="18"/>
  <c r="W65" i="18" s="1"/>
  <c r="V64" i="18"/>
  <c r="V63" i="18"/>
  <c r="V62" i="18"/>
  <c r="X62" i="18" s="1"/>
  <c r="V61" i="18"/>
  <c r="W61" i="18" s="1"/>
  <c r="V102" i="18"/>
  <c r="V101" i="18"/>
  <c r="V100" i="18"/>
  <c r="V60" i="18"/>
  <c r="X60" i="18" s="1"/>
  <c r="V99" i="18"/>
  <c r="V59" i="18"/>
  <c r="W59" i="18" s="1"/>
  <c r="V98" i="18"/>
  <c r="V97" i="18"/>
  <c r="W97" i="18" s="1"/>
  <c r="V58" i="18"/>
  <c r="V81" i="18"/>
  <c r="V80"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6" i="18"/>
  <c r="W168" i="18"/>
  <c r="V107" i="18"/>
  <c r="W170" i="18"/>
  <c r="V116" i="18"/>
  <c r="V95" i="18"/>
  <c r="W95" i="18" s="1"/>
  <c r="V30" i="18"/>
  <c r="V29" i="18"/>
  <c r="V28" i="18"/>
  <c r="W28" i="18" s="1"/>
  <c r="V94" i="18"/>
  <c r="V93" i="18"/>
  <c r="V27" i="18"/>
  <c r="G303" i="20"/>
  <c r="K304" i="20"/>
  <c r="I304" i="20"/>
  <c r="J304" i="20"/>
  <c r="V26" i="18"/>
  <c r="W26" i="18" s="1"/>
  <c r="V92" i="18"/>
  <c r="V25" i="18"/>
  <c r="V24" i="18"/>
  <c r="W24" i="18" s="1"/>
  <c r="V91" i="18"/>
  <c r="V23" i="18"/>
  <c r="X23" i="18" s="1"/>
  <c r="V90" i="18"/>
  <c r="V89" i="18"/>
  <c r="V88" i="18"/>
  <c r="V22" i="18"/>
  <c r="V21" i="18"/>
  <c r="V20" i="18"/>
  <c r="AL72" i="18"/>
  <c r="AM73" i="18"/>
  <c r="S69" i="18" l="1"/>
  <c r="V68" i="18"/>
  <c r="X68" i="18" s="1"/>
  <c r="W158" i="18"/>
  <c r="X158" i="18"/>
  <c r="W157" i="18"/>
  <c r="X157" i="18"/>
  <c r="W67" i="18"/>
  <c r="X67" i="18"/>
  <c r="W174" i="18"/>
  <c r="W66" i="18"/>
  <c r="X66" i="18"/>
  <c r="X65" i="18"/>
  <c r="W64" i="18"/>
  <c r="X64" i="18"/>
  <c r="W63" i="18"/>
  <c r="X63" i="18"/>
  <c r="X61" i="18"/>
  <c r="W62" i="18"/>
  <c r="X97" i="18"/>
  <c r="W101" i="18"/>
  <c r="X101" i="18"/>
  <c r="W102" i="18"/>
  <c r="X102" i="18"/>
  <c r="W100" i="18"/>
  <c r="X100" i="18"/>
  <c r="W60" i="18"/>
  <c r="W99" i="18"/>
  <c r="X99" i="18"/>
  <c r="X59" i="18"/>
  <c r="X98" i="18"/>
  <c r="W98" i="18"/>
  <c r="X80" i="18"/>
  <c r="W80" i="18"/>
  <c r="W58" i="18"/>
  <c r="X58" i="18"/>
  <c r="X81" i="18"/>
  <c r="W81"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6" i="18"/>
  <c r="X96" i="18"/>
  <c r="W107" i="18"/>
  <c r="X107" i="18"/>
  <c r="X95" i="18"/>
  <c r="X30" i="18"/>
  <c r="W30" i="18"/>
  <c r="W29" i="18"/>
  <c r="X29" i="18"/>
  <c r="X28" i="18"/>
  <c r="W94" i="18"/>
  <c r="X94" i="18"/>
  <c r="W93" i="18"/>
  <c r="X93" i="18"/>
  <c r="W27" i="18"/>
  <c r="X27" i="18"/>
  <c r="W169" i="18"/>
  <c r="G302" i="20"/>
  <c r="K303" i="20"/>
  <c r="I303" i="20"/>
  <c r="J303" i="20"/>
  <c r="X26" i="18"/>
  <c r="W92" i="18"/>
  <c r="X92" i="18"/>
  <c r="W25" i="18"/>
  <c r="X25" i="18"/>
  <c r="X24" i="18"/>
  <c r="W91" i="18"/>
  <c r="X91" i="18"/>
  <c r="W23" i="18"/>
  <c r="W90" i="18"/>
  <c r="X90" i="18"/>
  <c r="W89" i="18"/>
  <c r="X89" i="18"/>
  <c r="N34" i="18"/>
  <c r="W167" i="18"/>
  <c r="X88" i="18"/>
  <c r="W88" i="18"/>
  <c r="W22" i="18"/>
  <c r="X22" i="18"/>
  <c r="W20" i="18"/>
  <c r="X20" i="18"/>
  <c r="W116" i="18"/>
  <c r="X116" i="18"/>
  <c r="W21" i="18"/>
  <c r="X21" i="18"/>
  <c r="AL71" i="18"/>
  <c r="AM72" i="18"/>
  <c r="W68" i="18" l="1"/>
  <c r="S70" i="18"/>
  <c r="V69" i="18"/>
  <c r="W173" i="18"/>
  <c r="X167" i="18" s="1"/>
  <c r="W175" i="18"/>
  <c r="W176" i="18" s="1"/>
  <c r="N62" i="18"/>
  <c r="G149" i="18"/>
  <c r="I149" i="18"/>
  <c r="I150" i="18"/>
  <c r="G150" i="18"/>
  <c r="L21" i="18"/>
  <c r="G301" i="20"/>
  <c r="I302" i="20"/>
  <c r="K302" i="20"/>
  <c r="J302" i="20"/>
  <c r="AL70" i="18"/>
  <c r="AM71" i="18"/>
  <c r="W69" i="18" l="1"/>
  <c r="X69" i="18"/>
  <c r="S71" i="18"/>
  <c r="V70" i="18"/>
  <c r="X170" i="18"/>
  <c r="X168" i="18"/>
  <c r="X169"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70" i="18" l="1"/>
  <c r="X70" i="18"/>
  <c r="S72" i="18"/>
  <c r="V71" i="18"/>
  <c r="G299" i="20"/>
  <c r="I300" i="20"/>
  <c r="K300" i="20"/>
  <c r="J300" i="20"/>
  <c r="AL68" i="18"/>
  <c r="AM69" i="18"/>
  <c r="N2" i="33"/>
  <c r="W71" i="18" l="1"/>
  <c r="X71" i="18"/>
  <c r="V72" i="18"/>
  <c r="S73" i="18"/>
  <c r="G298" i="20"/>
  <c r="K299" i="20"/>
  <c r="I299" i="20"/>
  <c r="J299" i="20"/>
  <c r="AL67" i="18"/>
  <c r="AM68" i="18"/>
  <c r="I2" i="33"/>
  <c r="E2" i="33"/>
  <c r="J2" i="33"/>
  <c r="F2" i="33"/>
  <c r="K2" i="33"/>
  <c r="G2" i="33"/>
  <c r="D2" i="33"/>
  <c r="C2" i="33"/>
  <c r="H2" i="33"/>
  <c r="D73" i="45"/>
  <c r="V73" i="18" l="1"/>
  <c r="W73" i="18" s="1"/>
  <c r="S74" i="18"/>
  <c r="X72" i="18"/>
  <c r="W72" i="18"/>
  <c r="G297" i="20"/>
  <c r="K298" i="20"/>
  <c r="I298" i="20"/>
  <c r="J298" i="20"/>
  <c r="AL66" i="18"/>
  <c r="AM67" i="18"/>
  <c r="F33" i="14"/>
  <c r="F34" i="14"/>
  <c r="F35" i="14"/>
  <c r="F36" i="14"/>
  <c r="F37" i="14"/>
  <c r="F38" i="14"/>
  <c r="F39" i="14"/>
  <c r="F40" i="14"/>
  <c r="F41" i="14"/>
  <c r="F42" i="14"/>
  <c r="F43" i="14"/>
  <c r="E62" i="14"/>
  <c r="E61" i="14" s="1"/>
  <c r="B63" i="14"/>
  <c r="X73" i="18" l="1"/>
  <c r="S75" i="18"/>
  <c r="V74" i="18"/>
  <c r="G61" i="14"/>
  <c r="E60" i="14"/>
  <c r="I297" i="20"/>
  <c r="K297" i="20"/>
  <c r="J297" i="20"/>
  <c r="G296" i="20"/>
  <c r="AL65" i="18"/>
  <c r="AM66" i="18"/>
  <c r="V75" i="18" l="1"/>
  <c r="W75" i="18" s="1"/>
  <c r="S76" i="18"/>
  <c r="W74" i="18"/>
  <c r="X74" i="18"/>
  <c r="E59" i="14"/>
  <c r="G60" i="14"/>
  <c r="G295" i="20"/>
  <c r="K296" i="20"/>
  <c r="I296" i="20"/>
  <c r="J296" i="20"/>
  <c r="AL64" i="18"/>
  <c r="AM65" i="18"/>
  <c r="X75" i="18" l="1"/>
  <c r="S77" i="18"/>
  <c r="V77" i="18" s="1"/>
  <c r="V76" i="18"/>
  <c r="E58" i="14"/>
  <c r="G59" i="14"/>
  <c r="G294" i="20"/>
  <c r="K295" i="20"/>
  <c r="J295" i="20"/>
  <c r="I295" i="20"/>
  <c r="AM64" i="18"/>
  <c r="AL63" i="18"/>
  <c r="X76" i="18" l="1"/>
  <c r="W76" i="18"/>
  <c r="W77" i="18"/>
  <c r="X77" i="18"/>
  <c r="G58" i="14"/>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G19" i="20"/>
  <c r="I20" i="20"/>
  <c r="J20" i="20"/>
  <c r="K20" i="20"/>
  <c r="F14" i="15"/>
  <c r="X134" i="18" l="1"/>
  <c r="S136" i="18"/>
  <c r="V135" i="18"/>
  <c r="G18" i="20"/>
  <c r="J19" i="20"/>
  <c r="K19" i="20"/>
  <c r="I19" i="20"/>
  <c r="F13" i="15"/>
  <c r="V136" i="18" l="1"/>
  <c r="W136" i="18" s="1"/>
  <c r="S137" i="18"/>
  <c r="S138" i="18" s="1"/>
  <c r="S139" i="18" s="1"/>
  <c r="S140" i="18" s="1"/>
  <c r="W135" i="18"/>
  <c r="X135" i="18"/>
  <c r="G17" i="20"/>
  <c r="K18" i="20"/>
  <c r="I18" i="20"/>
  <c r="J18" i="20"/>
  <c r="F12" i="15"/>
  <c r="S141" i="18" l="1"/>
  <c r="V141" i="18" s="1"/>
  <c r="X136" i="18"/>
  <c r="V137" i="18"/>
  <c r="G16" i="20"/>
  <c r="I17" i="20"/>
  <c r="K17" i="20"/>
  <c r="J17" i="20"/>
  <c r="F11" i="15"/>
  <c r="W141" i="18" l="1"/>
  <c r="X141" i="18"/>
  <c r="W137" i="18"/>
  <c r="X137" i="18"/>
  <c r="G15" i="20"/>
  <c r="I16" i="20"/>
  <c r="J16" i="20"/>
  <c r="K16" i="20"/>
  <c r="F10" i="15"/>
  <c r="V138" i="18" l="1"/>
  <c r="G14" i="20"/>
  <c r="J15" i="20"/>
  <c r="K15" i="20"/>
  <c r="I15" i="20"/>
  <c r="F9" i="15"/>
  <c r="W138" i="18" l="1"/>
  <c r="X138" i="18"/>
  <c r="G13" i="20"/>
  <c r="K14" i="20"/>
  <c r="I14" i="20"/>
  <c r="J14" i="20"/>
  <c r="F8" i="15"/>
  <c r="G12" i="20" l="1"/>
  <c r="I13" i="20"/>
  <c r="J13" i="20"/>
  <c r="K13" i="20"/>
  <c r="F7" i="15"/>
  <c r="S142" i="18" l="1"/>
  <c r="S143" i="18" s="1"/>
  <c r="S144" i="18" s="1"/>
  <c r="G11" i="20"/>
  <c r="I12" i="20"/>
  <c r="J12" i="20"/>
  <c r="K12" i="20"/>
  <c r="F6" i="15"/>
  <c r="V142" i="18" l="1"/>
  <c r="X142" i="18" s="1"/>
  <c r="G10" i="20"/>
  <c r="J11" i="20"/>
  <c r="K11" i="20"/>
  <c r="I11" i="20"/>
  <c r="F5" i="15"/>
  <c r="W142" i="18" l="1"/>
  <c r="G9" i="20"/>
  <c r="K10" i="20"/>
  <c r="I10" i="20"/>
  <c r="J10" i="20"/>
  <c r="F4" i="15"/>
  <c r="V143" i="18" l="1"/>
  <c r="W143" i="18" s="1"/>
  <c r="V139" i="18"/>
  <c r="X139" i="18" s="1"/>
  <c r="G8" i="20"/>
  <c r="J9" i="20"/>
  <c r="K9" i="20"/>
  <c r="I9" i="20"/>
  <c r="F2" i="15"/>
  <c r="F3" i="15"/>
  <c r="S145" i="18" l="1"/>
  <c r="S146" i="18" s="1"/>
  <c r="X143" i="18"/>
  <c r="W139" i="18"/>
  <c r="V140" i="18"/>
  <c r="G7" i="20"/>
  <c r="I8" i="20"/>
  <c r="K8" i="20"/>
  <c r="J8" i="20"/>
  <c r="F422" i="15"/>
  <c r="F425" i="15" s="1"/>
  <c r="S147" i="18" l="1"/>
  <c r="S148" i="18" s="1"/>
  <c r="V146" i="18"/>
  <c r="V144" i="18"/>
  <c r="X140" i="18"/>
  <c r="W140" i="18"/>
  <c r="G6" i="20"/>
  <c r="J7" i="20"/>
  <c r="K7" i="20"/>
  <c r="I7" i="20"/>
  <c r="V147" i="18" l="1"/>
  <c r="W147" i="18" s="1"/>
  <c r="W146" i="18"/>
  <c r="X146" i="18"/>
  <c r="X147" i="18"/>
  <c r="W144" i="18"/>
  <c r="X144" i="18"/>
  <c r="V145" i="18"/>
  <c r="G5" i="20"/>
  <c r="K6" i="20"/>
  <c r="J6" i="20"/>
  <c r="I6" i="20"/>
  <c r="V148" i="18" l="1"/>
  <c r="W148" i="18" s="1"/>
  <c r="S149" i="18"/>
  <c r="W145" i="18"/>
  <c r="X145" i="18"/>
  <c r="G4" i="20"/>
  <c r="I5" i="20"/>
  <c r="J5" i="20"/>
  <c r="K5" i="20"/>
  <c r="X148" i="18" l="1"/>
  <c r="V149" i="18"/>
  <c r="X149" i="18" s="1"/>
  <c r="S150" i="18"/>
  <c r="G3" i="20"/>
  <c r="I4" i="20"/>
  <c r="J4" i="20"/>
  <c r="K4" i="20"/>
  <c r="W149" i="18" l="1"/>
  <c r="S151" i="18"/>
  <c r="V150" i="18"/>
  <c r="G2" i="20"/>
  <c r="J3" i="20"/>
  <c r="K3" i="20"/>
  <c r="I3" i="20"/>
  <c r="V151" i="18" l="1"/>
  <c r="S152" i="18"/>
  <c r="W150" i="18"/>
  <c r="X150" i="18"/>
  <c r="X151" i="18"/>
  <c r="W151" i="18"/>
  <c r="K2" i="20"/>
  <c r="K371" i="20" s="1"/>
  <c r="I2" i="20"/>
  <c r="I371" i="20" s="1"/>
  <c r="I374" i="20" s="1"/>
  <c r="J2" i="20"/>
  <c r="J371" i="20" s="1"/>
  <c r="V152" i="18" l="1"/>
  <c r="W152" i="18" s="1"/>
  <c r="S153" i="18"/>
  <c r="V153" i="18" s="1"/>
  <c r="X152" i="18"/>
  <c r="J374" i="20"/>
  <c r="J378" i="20"/>
  <c r="K374" i="20"/>
  <c r="K378" i="20"/>
  <c r="W153" i="18" l="1"/>
  <c r="X153" i="18"/>
</calcChain>
</file>

<file path=xl/sharedStrings.xml><?xml version="1.0" encoding="utf-8"?>
<sst xmlns="http://schemas.openxmlformats.org/spreadsheetml/2006/main" count="15656" uniqueCount="6549">
  <si>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</si>
  <si>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</si>
  <si>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</si>
  <si>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</si>
  <si>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</si>
  <si>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</si>
  <si>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</si>
  <si>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</si>
  <si>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</si>
  <si>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</si>
  <si>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</si>
  <si>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</si>
  <si>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</si>
  <si>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</si>
  <si>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</si>
  <si>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</si>
  <si>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</si>
  <si>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</si>
  <si>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</si>
  <si>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</si>
  <si>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</si>
  <si>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</si>
  <si>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</si>
  <si>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</si>
  <si>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</si>
  <si>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</si>
  <si>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</si>
  <si>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</si>
  <si>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</si>
  <si>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</si>
  <si>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</si>
  <si>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</si>
  <si>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</si>
  <si>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</si>
  <si>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</si>
  <si>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</si>
  <si>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</si>
  <si>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</si>
  <si>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</si>
  <si>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</si>
  <si>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</si>
  <si>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</si>
  <si>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</si>
  <si>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</si>
  <si>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</si>
  <si>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</si>
  <si>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</si>
  <si>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</si>
  <si>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</si>
  <si>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</si>
  <si>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</si>
  <si>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</si>
  <si>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</si>
  <si>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</si>
  <si>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</si>
  <si>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</si>
  <si>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</si>
  <si>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</si>
  <si>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</si>
  <si>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</si>
  <si>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</si>
  <si>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</si>
  <si>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</si>
  <si>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</si>
  <si>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</si>
  <si>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</si>
  <si>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</si>
  <si>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</si>
  <si>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</si>
  <si>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</si>
  <si>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</si>
  <si>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</si>
  <si>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</si>
  <si>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</si>
  <si>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</si>
  <si>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</si>
  <si>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</si>
  <si>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</si>
  <si>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</si>
  <si>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</si>
  <si>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</si>
  <si>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</si>
  <si>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</si>
  <si>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</si>
  <si>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</si>
  <si>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</si>
  <si>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</si>
  <si>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</si>
  <si>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</si>
  <si>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</si>
  <si>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</si>
  <si>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</si>
  <si>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</si>
  <si>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</si>
  <si>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</si>
  <si>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</si>
  <si>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</si>
  <si>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</si>
  <si>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</si>
  <si>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</si>
  <si>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</si>
  <si>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</si>
  <si>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</si>
  <si>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</si>
  <si>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</si>
  <si>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</si>
  <si>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</si>
  <si>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</si>
  <si>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</si>
  <si>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</si>
  <si>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</si>
  <si>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</si>
  <si>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</si>
  <si>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</si>
  <si>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</si>
  <si>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</si>
  <si>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</si>
  <si>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</si>
  <si>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</si>
  <si>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</si>
  <si>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</si>
  <si>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</si>
  <si>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</si>
  <si>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</si>
  <si>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</si>
  <si>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</si>
  <si>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</si>
  <si>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</si>
  <si>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</si>
  <si>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</si>
  <si>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</si>
  <si>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</si>
  <si>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</si>
  <si>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</si>
  <si>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</si>
  <si>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</si>
  <si>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</si>
  <si>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</si>
  <si>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</si>
  <si>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</si>
  <si>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</si>
  <si>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</si>
  <si>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</si>
  <si>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</si>
  <si>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</si>
  <si>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</si>
  <si>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</si>
  <si>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</si>
  <si>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</si>
  <si>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</si>
  <si>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</si>
  <si>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</si>
  <si>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</si>
  <si>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</si>
  <si>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</si>
  <si>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</si>
  <si>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</si>
  <si>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</si>
  <si>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</si>
  <si>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</si>
  <si>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</si>
  <si>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</si>
  <si>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</si>
  <si>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</si>
  <si>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</si>
  <si>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</si>
  <si>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</si>
  <si>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</si>
  <si>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</si>
  <si>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</si>
  <si>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</si>
  <si>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</si>
  <si>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</si>
  <si>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</si>
  <si>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</si>
  <si>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</si>
  <si>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</si>
  <si>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</si>
  <si>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</si>
  <si>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</si>
  <si>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</si>
  <si>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</si>
  <si>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</si>
  <si>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</si>
  <si>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</si>
  <si>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</si>
  <si>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</si>
  <si>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</si>
  <si>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</si>
  <si>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</si>
  <si>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</si>
  <si>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</si>
  <si>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</si>
  <si>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</si>
  <si>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</si>
  <si>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</si>
  <si>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</si>
  <si>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</si>
  <si>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</si>
  <si>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</si>
  <si>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</si>
  <si>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</si>
  <si>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</si>
  <si>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</si>
  <si>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</si>
  <si>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</si>
  <si>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</si>
  <si>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</si>
  <si>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</si>
  <si>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</si>
  <si>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</si>
  <si>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</si>
  <si>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</si>
  <si>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</si>
  <si>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</si>
  <si>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</si>
  <si>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</si>
  <si>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</si>
  <si>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</si>
  <si>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</si>
  <si>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</si>
  <si>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</si>
  <si>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</si>
  <si>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</si>
  <si>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</si>
  <si>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</si>
  <si>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</si>
  <si>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</si>
  <si>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</si>
  <si>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</si>
  <si>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</si>
  <si>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</si>
  <si>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</si>
  <si>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</si>
  <si>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</si>
  <si>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</si>
  <si>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</si>
  <si>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</si>
  <si>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</si>
  <si>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</si>
  <si>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</si>
  <si>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</si>
  <si>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</si>
  <si>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</si>
  <si>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</si>
  <si>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</si>
  <si>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</si>
  <si>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</si>
  <si>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</si>
  <si>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</si>
  <si>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</si>
  <si>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</si>
  <si>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</si>
  <si>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</si>
  <si>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</si>
  <si>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</si>
  <si>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</si>
  <si>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</si>
  <si>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</si>
  <si>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</si>
  <si>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</si>
  <si>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</si>
  <si>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</si>
  <si>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</si>
  <si>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</si>
  <si>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</si>
  <si>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</si>
  <si>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</si>
  <si>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</si>
  <si>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</si>
  <si>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</si>
  <si>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</si>
  <si>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</si>
  <si>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</si>
  <si>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</si>
  <si>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</si>
  <si>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</si>
  <si>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</si>
  <si>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</si>
  <si>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</si>
  <si>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</si>
  <si>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</si>
  <si>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</si>
  <si>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</si>
  <si>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</si>
  <si>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</si>
  <si>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</si>
  <si>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</si>
  <si>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</si>
  <si>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</si>
  <si>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</si>
  <si>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</si>
  <si>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</si>
  <si>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</si>
  <si>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</si>
  <si>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</si>
  <si>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</si>
  <si>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</si>
  <si>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</si>
  <si>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</si>
  <si>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</si>
  <si>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</si>
  <si>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</si>
  <si>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</si>
  <si>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</si>
  <si>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</si>
  <si>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</si>
  <si>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</si>
  <si>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</si>
  <si>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</si>
  <si>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</si>
  <si>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</si>
  <si>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</si>
  <si>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</si>
  <si>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</si>
  <si>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</si>
  <si>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</si>
  <si>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</si>
  <si>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</si>
  <si>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</si>
  <si>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</si>
  <si>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</si>
  <si>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</si>
  <si>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</si>
  <si>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</si>
  <si>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</si>
  <si>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</si>
  <si>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</si>
  <si>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</si>
  <si>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</si>
  <si>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</si>
  <si>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</si>
  <si>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</si>
  <si>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</si>
  <si>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</si>
  <si>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</si>
  <si>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</si>
  <si>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</si>
  <si>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</si>
  <si>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</si>
  <si>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</si>
  <si>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</si>
  <si>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</si>
  <si>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</si>
  <si>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</si>
  <si>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</si>
  <si>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</si>
  <si>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</si>
  <si>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</si>
  <si>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</si>
  <si>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</si>
  <si>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</si>
  <si>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</si>
  <si>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</si>
  <si>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</si>
  <si>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</si>
  <si>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</si>
  <si>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</si>
  <si>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</si>
  <si>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</si>
  <si>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</si>
  <si>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</si>
  <si>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</si>
  <si>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</si>
  <si>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</si>
  <si>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</si>
  <si>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</si>
  <si>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</si>
  <si>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</si>
  <si>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</si>
  <si>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</si>
  <si>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</si>
  <si>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</si>
  <si>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</si>
  <si>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</si>
  <si>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</si>
  <si>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</si>
  <si>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</si>
  <si>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</si>
  <si>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</si>
  <si>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</si>
  <si>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</si>
  <si>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</si>
  <si>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</si>
  <si>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</si>
  <si>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</si>
  <si>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</si>
  <si>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</si>
  <si>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</si>
  <si>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</si>
  <si>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</si>
  <si>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</si>
  <si>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</si>
  <si>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</si>
  <si>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</si>
  <si>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</si>
  <si>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</si>
  <si>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</si>
  <si>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</si>
  <si>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</si>
  <si>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</si>
  <si>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</si>
  <si>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</si>
  <si>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</si>
  <si>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</si>
  <si>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</si>
  <si>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</si>
  <si>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</si>
  <si>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</si>
  <si>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</si>
  <si>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</si>
  <si>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</si>
  <si>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</si>
  <si>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</si>
  <si>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</si>
  <si>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</si>
  <si>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</si>
  <si>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</si>
  <si>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</si>
  <si>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</si>
  <si>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</si>
  <si>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</si>
  <si>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</si>
  <si>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</si>
  <si>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</si>
  <si>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</si>
  <si>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</si>
  <si>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</si>
  <si>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</si>
  <si>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</si>
  <si>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</si>
  <si>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</si>
  <si>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</si>
  <si>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</si>
  <si>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</si>
  <si>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</si>
  <si>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</si>
  <si>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</si>
  <si>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</si>
  <si>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</si>
  <si>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</si>
  <si>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</si>
  <si>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</si>
  <si>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</si>
  <si>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</si>
  <si>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</si>
  <si>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</si>
  <si>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</si>
  <si>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</si>
  <si>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</si>
  <si>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</si>
  <si>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</si>
  <si>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</si>
  <si>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</si>
  <si>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</si>
  <si>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</si>
  <si>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</si>
  <si>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</si>
  <si>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</si>
  <si>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</si>
  <si>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</si>
  <si>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</si>
  <si>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</si>
  <si>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</si>
  <si>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</si>
  <si>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</si>
  <si>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</si>
  <si>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</si>
  <si>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</si>
  <si>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</si>
  <si>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</si>
  <si>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</si>
  <si>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</si>
  <si>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</si>
  <si>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</si>
  <si>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</si>
  <si>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</si>
  <si>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</si>
  <si>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</si>
  <si>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</si>
  <si>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</si>
  <si>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</si>
  <si>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</si>
  <si>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</si>
  <si>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</si>
  <si>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</si>
  <si>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</si>
  <si>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</si>
  <si>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</si>
  <si>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</si>
  <si>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</si>
  <si>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</si>
  <si>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</si>
  <si>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</si>
  <si>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</si>
  <si>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</si>
  <si>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</si>
  <si>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</si>
  <si>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</si>
  <si>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</si>
  <si>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</si>
  <si>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</si>
  <si>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</si>
  <si>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</si>
  <si>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</si>
  <si>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</si>
  <si>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</si>
  <si>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</si>
  <si>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</si>
  <si>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</si>
  <si>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</si>
  <si>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</si>
  <si>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</si>
  <si>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</si>
  <si>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</si>
  <si>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</si>
  <si>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</si>
  <si>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</si>
  <si>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</si>
  <si>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</si>
  <si>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</si>
  <si>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</si>
  <si>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</si>
  <si>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</si>
  <si>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</si>
  <si>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</si>
  <si>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</si>
  <si>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</si>
  <si>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</si>
  <si>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</si>
  <si>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</si>
  <si>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</si>
  <si>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</si>
  <si>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</si>
  <si>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</si>
  <si>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</si>
  <si>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</si>
  <si>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</si>
  <si>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</si>
  <si>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</si>
  <si>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</si>
  <si>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</si>
  <si>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</si>
  <si>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</si>
  <si>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</si>
  <si>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</si>
  <si>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</si>
  <si>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</si>
  <si>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</si>
  <si>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</si>
  <si>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</si>
  <si>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</si>
  <si>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</si>
  <si>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</si>
  <si>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</si>
  <si>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</si>
  <si>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</si>
  <si>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</si>
  <si>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</si>
  <si>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</si>
  <si>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</si>
  <si>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</si>
  <si>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</si>
  <si>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</si>
  <si>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</si>
  <si>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</si>
  <si>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</si>
  <si>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</si>
  <si>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</si>
  <si>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</si>
  <si>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</si>
  <si>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</si>
  <si>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</si>
  <si>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</si>
  <si>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</si>
  <si>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</si>
  <si>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</si>
  <si>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</si>
  <si>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</si>
  <si>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</si>
  <si>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</si>
  <si>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</si>
  <si>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</si>
  <si>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</si>
  <si>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</si>
  <si>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</si>
  <si>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</si>
  <si>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</si>
  <si>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</si>
  <si>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</si>
  <si>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</si>
  <si>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</si>
  <si>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</si>
  <si>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</si>
  <si>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</si>
  <si>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</si>
  <si>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</si>
  <si>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</si>
  <si>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</si>
  <si>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</si>
  <si>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</si>
  <si>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</si>
  <si>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</si>
  <si>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</si>
  <si>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</si>
  <si>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</si>
  <si>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</si>
  <si>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</si>
  <si>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</si>
  <si>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</si>
  <si>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</si>
  <si>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</si>
  <si>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</si>
  <si>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</si>
  <si>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</si>
  <si>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</si>
  <si>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</si>
  <si>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</si>
  <si>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</si>
  <si>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</si>
  <si>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</si>
  <si>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</si>
  <si>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</si>
  <si>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</si>
  <si>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</si>
  <si>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</si>
  <si>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</si>
  <si>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</si>
  <si>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</si>
  <si>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</si>
  <si>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</si>
  <si>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</si>
  <si>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</si>
  <si>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</si>
  <si>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</si>
  <si>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</si>
  <si>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</si>
  <si>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</si>
  <si>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</si>
  <si>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</si>
  <si>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</si>
  <si>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</si>
  <si>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</si>
  <si>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</si>
  <si>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</si>
  <si>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</si>
  <si>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</si>
  <si>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</si>
  <si>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</si>
  <si>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</si>
  <si>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</si>
  <si>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</si>
  <si>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</si>
  <si>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</si>
  <si>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</si>
  <si>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</si>
  <si>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</si>
  <si>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</si>
  <si>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</si>
  <si>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</si>
  <si>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</si>
  <si>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</si>
  <si>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</si>
  <si>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</si>
  <si>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</si>
  <si>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</si>
  <si>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</si>
  <si>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</si>
  <si>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</si>
  <si>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</si>
  <si>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</si>
  <si>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</si>
  <si>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</si>
  <si>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</si>
  <si>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</si>
  <si>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</si>
  <si>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</si>
  <si>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</si>
  <si>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</si>
  <si>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</si>
  <si>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</si>
  <si>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</si>
  <si>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</si>
  <si>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</si>
  <si>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</si>
  <si>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</si>
  <si>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</si>
  <si>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</si>
  <si>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</si>
  <si>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</si>
  <si>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</si>
  <si>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</si>
  <si>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</si>
  <si>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</si>
  <si>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</si>
  <si>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</si>
  <si>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</si>
  <si>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</si>
  <si>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</si>
  <si>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</si>
  <si>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</si>
  <si>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</si>
  <si>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</si>
  <si>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</si>
  <si>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</si>
  <si>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</si>
  <si>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</si>
  <si>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</si>
  <si>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</si>
  <si>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</si>
  <si>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</si>
  <si>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</si>
  <si>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</si>
  <si>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</si>
  <si>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</si>
  <si>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</si>
  <si>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</si>
  <si>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</si>
  <si>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</si>
  <si>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</si>
  <si>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</si>
  <si>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</si>
  <si>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</si>
  <si>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</si>
  <si>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</si>
  <si>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</si>
  <si>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</si>
  <si>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</si>
  <si>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</si>
  <si>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</si>
  <si>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</si>
  <si>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</si>
  <si>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</si>
  <si>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</si>
  <si>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</si>
  <si>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</si>
  <si>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</si>
  <si>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</si>
  <si>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</si>
  <si>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</si>
  <si>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</si>
  <si>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</si>
  <si>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</si>
  <si>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</si>
  <si>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</si>
  <si>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</si>
  <si>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</si>
  <si>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</si>
  <si>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</si>
  <si>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</si>
  <si>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</si>
  <si>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</si>
  <si>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</si>
  <si>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</si>
  <si>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</si>
  <si>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</si>
  <si>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</si>
  <si>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</si>
  <si>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</si>
  <si>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</si>
  <si>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</si>
  <si>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</si>
  <si>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</si>
  <si>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</si>
  <si>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</si>
  <si>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</si>
  <si>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</si>
  <si>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</si>
  <si>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</si>
  <si>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</si>
  <si>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</si>
  <si>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</si>
  <si>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</si>
  <si>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</si>
  <si>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</si>
  <si>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</si>
  <si>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</si>
  <si>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</si>
  <si>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</si>
  <si>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</si>
  <si>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</si>
  <si>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</si>
  <si>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</si>
  <si>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</si>
  <si>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</si>
  <si>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</si>
  <si>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</si>
  <si>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</si>
  <si>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</si>
  <si>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</si>
  <si>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</si>
  <si>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</si>
  <si>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</si>
  <si>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</si>
  <si>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</si>
  <si>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</si>
  <si>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</si>
  <si>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</si>
  <si>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</si>
  <si>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</si>
  <si>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</si>
  <si>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</si>
  <si>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</si>
  <si>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</si>
  <si>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</si>
  <si>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</si>
  <si>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</si>
  <si>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</si>
  <si>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</si>
  <si>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</si>
  <si>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</si>
  <si>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</si>
  <si>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</si>
  <si>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</si>
  <si>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</si>
  <si>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</si>
  <si>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</si>
  <si>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</si>
  <si>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</si>
  <si>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</si>
  <si>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</si>
  <si>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</si>
  <si>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</si>
  <si>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</si>
  <si>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</si>
  <si>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</si>
  <si>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</si>
  <si>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</si>
  <si>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</si>
  <si>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</si>
  <si>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</si>
  <si>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</si>
  <si>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</si>
  <si>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</si>
  <si>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</si>
  <si>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</si>
  <si>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</si>
  <si>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</si>
  <si>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</si>
  <si>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</si>
  <si>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</si>
  <si>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</si>
  <si>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</si>
  <si>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</si>
  <si>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</si>
  <si>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</si>
  <si>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</si>
  <si>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</si>
  <si>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</si>
  <si>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</si>
  <si>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</si>
  <si>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</si>
  <si>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</si>
  <si>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</si>
  <si>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</si>
  <si>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</si>
  <si>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</si>
  <si>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</si>
  <si>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</si>
  <si>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</si>
  <si>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</si>
  <si>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</si>
  <si>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</si>
  <si>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</si>
  <si>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</si>
  <si>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</si>
  <si>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</si>
  <si>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</si>
  <si>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</si>
  <si>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</si>
  <si>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</si>
  <si>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</si>
  <si>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</si>
  <si>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</si>
  <si>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</si>
  <si>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</si>
  <si>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</si>
  <si>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</si>
  <si>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</si>
  <si>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</si>
  <si>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</si>
  <si>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</si>
  <si>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</si>
  <si>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</si>
  <si>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</si>
  <si>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</si>
  <si>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</si>
  <si>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</si>
  <si>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</si>
  <si>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</si>
  <si>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</si>
  <si>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</si>
  <si>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</si>
  <si>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</si>
  <si>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</si>
  <si>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</si>
  <si>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</si>
  <si>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</si>
  <si>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</si>
  <si>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</si>
  <si>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</si>
  <si>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</si>
  <si>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</si>
  <si>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</si>
  <si>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</si>
  <si>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</si>
  <si>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</si>
  <si>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</si>
  <si>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</si>
  <si>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</si>
  <si>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</si>
  <si>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</si>
  <si>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</si>
  <si>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</si>
  <si>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</si>
  <si>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</si>
  <si>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</si>
  <si>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</si>
  <si>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</si>
  <si>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</si>
  <si>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</si>
  <si>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</si>
  <si>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</si>
  <si>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</si>
  <si>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</si>
  <si>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</si>
  <si>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</si>
  <si>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</si>
  <si>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</si>
  <si>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</si>
  <si>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</si>
  <si>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</si>
  <si>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</si>
  <si>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</si>
  <si>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</si>
  <si>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</si>
  <si>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</si>
  <si>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</si>
  <si>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</si>
  <si>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</si>
  <si>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</si>
  <si>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</si>
  <si>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</si>
  <si>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</si>
  <si>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</si>
  <si>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</si>
  <si>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</si>
  <si>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</si>
  <si>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</si>
  <si>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</si>
  <si>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</si>
  <si>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</si>
  <si>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</si>
  <si>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</si>
  <si>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</si>
  <si>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</si>
  <si>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</si>
  <si>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</si>
  <si>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</si>
  <si>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</si>
  <si>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</si>
  <si>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</si>
  <si>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</si>
  <si>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</si>
  <si>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</si>
  <si>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</si>
  <si>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</si>
  <si>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</si>
  <si>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</si>
  <si>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</si>
  <si>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</si>
  <si>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</si>
  <si>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</si>
  <si>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</si>
  <si>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</si>
  <si>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</si>
  <si>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</si>
  <si>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</si>
  <si>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</si>
  <si>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</si>
  <si>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</si>
  <si>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</si>
  <si>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</si>
  <si>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</si>
  <si>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</si>
  <si>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</si>
  <si>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</si>
  <si>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</si>
  <si>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</si>
  <si>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</si>
  <si>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</si>
  <si>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</si>
  <si>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</si>
  <si>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</si>
  <si>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</si>
  <si>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</si>
  <si>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</si>
  <si>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</si>
  <si>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</si>
  <si>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</si>
  <si>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</si>
  <si>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</si>
  <si>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</si>
  <si>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</si>
  <si>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</si>
  <si>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</si>
  <si>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</si>
  <si>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</si>
  <si>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</si>
  <si>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</si>
  <si>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</si>
  <si>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</si>
  <si>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</si>
  <si>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</si>
  <si>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</si>
  <si>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</si>
  <si>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</si>
  <si>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</si>
  <si>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</si>
  <si>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</si>
  <si>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</si>
  <si>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</si>
  <si>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</si>
  <si>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</si>
  <si>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</si>
  <si>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</si>
  <si>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</si>
  <si>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</si>
  <si>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</si>
  <si>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</si>
  <si>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</si>
  <si>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</si>
  <si>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</si>
  <si>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</si>
  <si>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</si>
  <si>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</si>
  <si>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</si>
  <si>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</si>
  <si>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</si>
  <si>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</si>
  <si>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</si>
  <si>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</si>
  <si>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</si>
  <si>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</si>
  <si>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</si>
  <si>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</si>
  <si>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</si>
  <si>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</si>
  <si>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</si>
  <si>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</si>
  <si>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</si>
  <si>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</si>
  <si>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</si>
  <si>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</si>
  <si>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</si>
  <si>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</si>
  <si>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</si>
  <si>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</si>
  <si>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</si>
  <si>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</si>
  <si>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</si>
  <si>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</si>
  <si>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</si>
  <si>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</si>
  <si>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</si>
  <si>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</si>
  <si>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</si>
  <si>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</si>
  <si>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</si>
  <si>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</si>
  <si>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</si>
  <si>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</si>
  <si>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</si>
  <si>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</si>
  <si>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</si>
  <si>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</si>
  <si>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</si>
  <si>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</si>
  <si>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</si>
  <si>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</si>
  <si>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</si>
  <si>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</si>
  <si>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</si>
  <si>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</si>
  <si>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</si>
  <si>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</si>
  <si>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</si>
  <si>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</si>
  <si>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</si>
  <si>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</si>
  <si>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</si>
  <si>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</si>
  <si>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</si>
  <si>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</si>
  <si>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</si>
  <si>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</si>
  <si>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</si>
  <si>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</si>
  <si>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</si>
  <si>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</si>
  <si>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</si>
  <si>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</si>
  <si>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</si>
  <si>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</si>
  <si>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</si>
  <si>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</si>
  <si>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</si>
  <si>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</si>
  <si>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</si>
  <si>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</si>
  <si>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</si>
  <si>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</si>
  <si>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</si>
  <si>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</si>
  <si>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</si>
  <si>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</si>
  <si>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</si>
  <si>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</si>
  <si>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</si>
  <si>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</si>
  <si>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</si>
  <si>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</si>
  <si>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</si>
  <si>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</si>
  <si>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</si>
  <si>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</si>
  <si>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</si>
  <si>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</si>
  <si>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</si>
  <si>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</si>
  <si>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</si>
  <si>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</si>
  <si>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</si>
  <si>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</si>
  <si>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</si>
  <si>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</si>
  <si>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</si>
  <si>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</si>
  <si>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</si>
  <si>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</si>
  <si>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</si>
  <si>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</si>
  <si>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</si>
  <si>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</si>
  <si>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</si>
  <si>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</si>
  <si>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</si>
  <si>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</si>
  <si>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</si>
  <si>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</si>
  <si>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</si>
  <si>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</si>
  <si>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</si>
  <si>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</si>
  <si>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</si>
  <si>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</si>
  <si>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</si>
  <si>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</si>
  <si>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</si>
  <si>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</si>
  <si>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</si>
  <si>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</si>
  <si>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</si>
  <si>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</si>
  <si>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</si>
  <si>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</si>
  <si>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</si>
  <si>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</si>
  <si>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</si>
  <si>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</si>
  <si>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</si>
  <si>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</si>
  <si>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</si>
  <si>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</si>
  <si>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</si>
  <si>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</si>
  <si>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</si>
  <si>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</si>
  <si>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</si>
  <si>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</si>
  <si>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</si>
  <si>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</si>
  <si>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</si>
  <si>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</si>
  <si>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</si>
  <si>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</si>
  <si>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</si>
  <si>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</si>
  <si>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</si>
  <si>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</si>
  <si>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</si>
  <si>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</si>
  <si>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</si>
  <si>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</si>
  <si>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</si>
  <si>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</si>
  <si>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</si>
  <si>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</si>
  <si>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</si>
  <si>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</si>
  <si>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</si>
  <si>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</si>
  <si>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</si>
  <si>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</si>
  <si>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</si>
  <si>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</si>
  <si>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</si>
  <si>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</si>
  <si>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</si>
  <si>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</si>
  <si>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</si>
  <si>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</si>
  <si>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</si>
  <si>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</si>
  <si>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</si>
  <si>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</si>
  <si>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</si>
  <si>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</si>
  <si>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</si>
  <si>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</si>
  <si>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</si>
  <si>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</si>
  <si>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</si>
  <si>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</si>
  <si>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</si>
  <si>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</si>
  <si>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</si>
  <si>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</si>
  <si>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</si>
  <si>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</si>
  <si>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</si>
  <si>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</si>
  <si>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</si>
  <si>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</si>
  <si>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</si>
  <si>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</si>
  <si>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</si>
  <si>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</si>
  <si>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</si>
  <si>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</si>
  <si>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</si>
  <si>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</si>
  <si>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</si>
  <si>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</si>
  <si>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</si>
  <si>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</si>
  <si>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</si>
  <si>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</si>
  <si>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</si>
  <si>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</si>
  <si>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</si>
  <si>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</si>
  <si>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</si>
  <si>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</si>
  <si>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</si>
  <si>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</si>
  <si>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</si>
  <si>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</si>
  <si>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</si>
  <si>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</si>
  <si>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</si>
  <si>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</si>
  <si>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</si>
  <si>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</si>
  <si>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</si>
  <si>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</si>
  <si>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</si>
  <si>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</si>
  <si>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</si>
  <si>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</si>
  <si>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</si>
  <si>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</si>
  <si>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</si>
  <si>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</si>
  <si>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</si>
  <si>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</si>
  <si>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</si>
  <si>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</si>
  <si>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</si>
  <si>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</si>
  <si>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</si>
  <si>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</si>
  <si>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</si>
  <si>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</si>
  <si>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</si>
  <si>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</si>
  <si>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</si>
  <si>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</si>
  <si>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</si>
  <si>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</si>
  <si>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</si>
  <si>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</si>
  <si>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</si>
  <si>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</si>
  <si>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</si>
  <si>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</si>
  <si>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</si>
  <si>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</si>
  <si>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</si>
  <si>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</si>
  <si>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</si>
  <si>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</si>
  <si>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</si>
  <si>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</si>
  <si>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</si>
  <si>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</si>
  <si>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</si>
  <si>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</si>
  <si>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</si>
  <si>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</si>
  <si>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</si>
  <si>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</si>
  <si>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</si>
  <si>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</si>
  <si>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</si>
  <si>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</si>
  <si>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</si>
  <si>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</si>
  <si>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</si>
  <si>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</si>
  <si>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</si>
  <si>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</si>
  <si>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</si>
  <si>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</si>
  <si>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</si>
  <si>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</si>
  <si>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</si>
  <si>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</si>
  <si>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</si>
  <si>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</si>
  <si>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</si>
  <si>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</si>
  <si>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</si>
  <si>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</si>
  <si>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</si>
  <si>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</si>
  <si>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</si>
  <si>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</si>
  <si>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</si>
  <si>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</si>
  <si>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</si>
  <si>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</si>
  <si>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</si>
  <si>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</si>
  <si>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</si>
  <si>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</si>
  <si>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</si>
  <si>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</si>
  <si>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</si>
  <si>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</si>
  <si>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</si>
  <si>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</si>
  <si>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</si>
  <si>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</si>
  <si>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</si>
  <si>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</si>
  <si>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</si>
  <si>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</si>
  <si>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</si>
  <si>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</si>
  <si>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</si>
  <si>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</si>
  <si>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</si>
  <si>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</si>
  <si>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</si>
  <si>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</si>
  <si>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</si>
  <si>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</si>
  <si>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</si>
  <si>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</si>
  <si>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</si>
  <si>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</si>
  <si>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</si>
  <si>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</si>
  <si>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</si>
  <si>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</si>
  <si>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</si>
  <si>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</si>
  <si>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</si>
  <si>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</si>
  <si>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</si>
  <si>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</si>
  <si>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</si>
  <si>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</si>
  <si>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</si>
  <si>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</si>
  <si>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</si>
  <si>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</si>
  <si>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</si>
  <si>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</si>
  <si>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</si>
  <si>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</si>
  <si>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</si>
  <si>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</si>
  <si>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</si>
  <si>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</si>
  <si>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</si>
  <si>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</si>
  <si>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</si>
  <si>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</si>
  <si>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</si>
  <si>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</si>
  <si>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</si>
  <si>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</si>
  <si>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</si>
  <si>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</si>
  <si>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</si>
  <si>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</si>
  <si>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</si>
  <si>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</si>
  <si>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</si>
  <si>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</si>
  <si>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</si>
  <si>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</si>
  <si>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</si>
  <si>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</si>
  <si>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</si>
  <si>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</si>
  <si>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</si>
  <si>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</si>
  <si>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</si>
  <si>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</si>
  <si>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</si>
  <si>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</si>
  <si>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</si>
  <si>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</si>
  <si>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</si>
  <si>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</si>
  <si>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</si>
  <si>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</si>
  <si>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</si>
  <si>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</si>
  <si>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</si>
  <si>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</si>
  <si>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</si>
  <si>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</si>
  <si>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</si>
  <si>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</si>
  <si>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</si>
  <si>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</si>
  <si>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</si>
  <si>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</si>
  <si>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</si>
  <si>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</si>
  <si>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</si>
  <si>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</si>
  <si>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</si>
  <si>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</si>
  <si>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</si>
  <si>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</si>
  <si>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</si>
  <si>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</si>
  <si>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</si>
  <si>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</si>
  <si>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</si>
  <si>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</si>
  <si>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</si>
  <si>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</si>
  <si>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</si>
  <si>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</si>
  <si>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</si>
  <si>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</si>
  <si>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</si>
  <si>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</si>
  <si>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</si>
  <si>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</si>
  <si>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</si>
  <si>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</si>
  <si>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</si>
  <si>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</si>
  <si>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</si>
  <si>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</si>
  <si>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</si>
  <si>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</si>
  <si>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</si>
  <si>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</si>
  <si>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</si>
  <si>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</si>
  <si>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</si>
  <si>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</si>
  <si>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</si>
  <si>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</si>
  <si>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</si>
  <si>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</si>
  <si>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</si>
  <si>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</si>
  <si>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</si>
  <si>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</si>
  <si>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</si>
  <si>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</si>
  <si>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</si>
  <si>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</si>
  <si>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</si>
  <si>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</si>
  <si>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</si>
  <si>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</si>
  <si>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</si>
  <si>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</si>
  <si>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</si>
  <si>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</si>
  <si>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</si>
  <si>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</si>
  <si>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</si>
  <si>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</si>
  <si>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</si>
  <si>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</si>
  <si>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</si>
  <si>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</si>
  <si>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</si>
  <si>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</si>
  <si>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</si>
  <si>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</si>
  <si>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</si>
  <si>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</si>
  <si>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</si>
  <si>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</si>
  <si>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</si>
  <si>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</si>
  <si>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</si>
  <si>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</si>
  <si>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</si>
  <si>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</si>
  <si>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</si>
  <si>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</si>
  <si>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</si>
  <si>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</si>
  <si>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</si>
  <si>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</si>
  <si>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</si>
  <si>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</si>
  <si>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</si>
  <si>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</si>
  <si>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</si>
  <si>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</si>
  <si>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</si>
  <si>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</si>
  <si>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</si>
  <si>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</si>
  <si>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</si>
  <si>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</si>
  <si>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</si>
  <si>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</si>
  <si>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</si>
  <si>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</si>
  <si>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</si>
  <si>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</si>
  <si>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</si>
  <si>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</si>
  <si>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</si>
  <si>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</si>
  <si>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</si>
  <si>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</si>
  <si>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</si>
  <si>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</si>
  <si>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</si>
  <si>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</si>
  <si>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</si>
  <si>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</si>
  <si>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</si>
  <si>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</si>
  <si>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</si>
  <si>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</si>
  <si>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</si>
  <si>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</si>
  <si>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</si>
  <si>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</si>
  <si>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</si>
  <si>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</si>
  <si>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</si>
  <si>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</si>
  <si>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</si>
  <si>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</si>
  <si>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</si>
  <si>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</si>
  <si>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</si>
  <si>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</si>
  <si>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</si>
  <si>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</si>
  <si>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</si>
  <si>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</si>
  <si>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</si>
  <si>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</si>
  <si>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</si>
  <si>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</si>
  <si>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</si>
  <si>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</si>
  <si>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</si>
  <si>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</si>
  <si>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</si>
  <si>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</si>
  <si>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</si>
  <si>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</si>
  <si>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</si>
  <si>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</si>
  <si>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</si>
  <si>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</si>
  <si>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</si>
  <si>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</si>
  <si>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</si>
  <si>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</si>
  <si>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</si>
  <si>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</si>
  <si>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</si>
  <si>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</si>
  <si>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</si>
  <si>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</si>
  <si>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</si>
  <si>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</si>
  <si>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</si>
  <si>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</si>
  <si>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</si>
  <si>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</si>
  <si>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</si>
  <si>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</si>
  <si>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</si>
  <si>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</si>
  <si>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</si>
  <si>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</si>
  <si>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</si>
  <si>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</si>
  <si>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</si>
  <si>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</si>
  <si>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</si>
  <si>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</si>
  <si>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</si>
  <si>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</si>
  <si>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</si>
  <si>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</si>
  <si>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</si>
  <si>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</si>
  <si>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</si>
  <si>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</si>
  <si>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</si>
  <si>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</si>
  <si>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</si>
  <si>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</si>
  <si>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</si>
  <si>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</si>
  <si>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</si>
  <si>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</si>
  <si>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</si>
  <si>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</si>
  <si>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</si>
  <si>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</si>
  <si>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</si>
  <si>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</si>
  <si>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</si>
  <si>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</si>
  <si>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</si>
  <si>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</si>
  <si>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</si>
  <si>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</si>
  <si>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</si>
  <si>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</si>
  <si>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</si>
  <si>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</si>
  <si>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</si>
  <si>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</si>
  <si>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</si>
  <si>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</si>
  <si>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</si>
  <si>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</si>
  <si>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</si>
  <si>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</si>
  <si>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</si>
  <si>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</si>
  <si>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</si>
  <si>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</si>
  <si>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</si>
  <si>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</si>
  <si>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</si>
  <si>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</si>
  <si>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</si>
  <si>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</si>
  <si>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</si>
  <si>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</si>
  <si>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</si>
  <si>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</si>
  <si>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</si>
  <si>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</si>
  <si>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</si>
  <si>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</si>
  <si>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</si>
  <si>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</si>
  <si>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</si>
  <si>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</si>
  <si>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</si>
  <si>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</si>
  <si>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</si>
  <si>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</si>
  <si>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</si>
  <si>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</si>
  <si>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</si>
  <si>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</si>
  <si>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</si>
  <si>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</si>
  <si>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</si>
  <si>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</si>
  <si>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</si>
  <si>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</si>
  <si>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</si>
  <si>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</si>
  <si>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</si>
  <si>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</si>
  <si>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</si>
  <si>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</si>
  <si>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</si>
  <si>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</si>
  <si>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</si>
  <si>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</si>
  <si>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</si>
  <si>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</si>
  <si>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</si>
  <si>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</si>
  <si>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</si>
  <si>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</si>
  <si>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</si>
  <si>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</si>
  <si>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</si>
  <si>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</si>
  <si>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</si>
  <si>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</si>
  <si>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</si>
  <si>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</si>
  <si>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</si>
  <si>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</si>
  <si>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</si>
  <si>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</si>
  <si>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</si>
  <si>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</si>
  <si>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</si>
  <si>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</si>
  <si>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</si>
  <si>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</si>
  <si>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</si>
  <si>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</si>
  <si>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</si>
  <si>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</si>
  <si>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</si>
  <si>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</si>
  <si>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</si>
  <si>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</si>
  <si>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</si>
  <si>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</si>
  <si>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</si>
  <si>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</si>
  <si>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</si>
  <si>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</si>
  <si>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</si>
  <si>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</si>
  <si>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</si>
  <si>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</si>
  <si>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</si>
  <si>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</si>
  <si>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</si>
  <si>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</si>
  <si>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</si>
  <si>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</si>
  <si>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</si>
  <si>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</si>
  <si>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</si>
  <si>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</si>
  <si>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</si>
  <si>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</si>
  <si>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</si>
  <si>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</si>
  <si>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</si>
  <si>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</si>
  <si>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</si>
  <si>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</si>
  <si>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</si>
  <si>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</si>
  <si>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</si>
  <si>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</si>
  <si>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</si>
  <si>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</si>
  <si>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</si>
  <si>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</si>
  <si>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</si>
  <si>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</si>
  <si>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</si>
  <si>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</si>
  <si>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</si>
  <si>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</si>
  <si>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</si>
  <si>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</si>
  <si>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</si>
  <si>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</si>
  <si>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</si>
  <si>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</si>
  <si>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</si>
  <si>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</si>
  <si>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</si>
  <si>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</si>
  <si>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</si>
  <si>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</si>
  <si>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</si>
  <si>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</si>
  <si>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</si>
  <si>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</si>
  <si>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</si>
  <si>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</si>
  <si>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</si>
  <si>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</si>
  <si>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</si>
  <si>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</si>
  <si>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</si>
  <si>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</si>
  <si>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</si>
  <si>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</si>
  <si>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</si>
  <si>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</si>
  <si>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</si>
  <si>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</si>
  <si>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</si>
  <si>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</si>
  <si>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</si>
  <si>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</si>
  <si>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</si>
  <si>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</si>
  <si>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</si>
  <si>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</si>
  <si>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</si>
  <si>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</si>
  <si>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</si>
  <si>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</si>
  <si>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</si>
  <si>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</si>
  <si>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</si>
  <si>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</si>
  <si>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</si>
  <si>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</si>
  <si>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</si>
  <si>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</si>
  <si>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</si>
  <si>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</si>
  <si>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</si>
  <si>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</si>
  <si>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</si>
  <si>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</si>
  <si>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</si>
  <si>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</si>
  <si>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</si>
  <si>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</si>
  <si>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</si>
  <si>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</si>
  <si>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</si>
  <si>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</si>
  <si>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</si>
  <si>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</si>
  <si>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</si>
  <si>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</si>
  <si>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</si>
  <si>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</si>
  <si>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</si>
  <si>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</si>
  <si>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</si>
  <si>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</si>
  <si>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</si>
  <si>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</si>
  <si>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</si>
  <si>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</si>
  <si>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</si>
  <si>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</si>
  <si>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</si>
  <si>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</si>
  <si>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</si>
  <si>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</si>
  <si>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</si>
  <si>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</si>
  <si>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</si>
  <si>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</si>
  <si>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</si>
  <si>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</si>
  <si>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</si>
  <si>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</si>
  <si>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</si>
  <si>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</si>
  <si>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</si>
  <si>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</si>
  <si>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</si>
  <si>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</si>
  <si>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</si>
  <si>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</si>
  <si>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</si>
  <si>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</si>
  <si>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</si>
  <si>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</si>
  <si>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</si>
  <si>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</si>
  <si>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</si>
  <si>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</si>
  <si>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</si>
  <si>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</si>
  <si>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</si>
  <si>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</si>
  <si>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</si>
  <si>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</si>
  <si>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</si>
  <si>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</si>
  <si>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</si>
  <si>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</si>
  <si>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</si>
  <si>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</si>
  <si>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</si>
  <si>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</si>
  <si>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</si>
  <si>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</si>
  <si>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</si>
  <si>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</si>
  <si>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</si>
  <si>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</si>
  <si>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</si>
  <si>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</si>
  <si>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</si>
  <si>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</si>
  <si>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</si>
  <si>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</si>
  <si>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</si>
  <si>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</si>
  <si>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</si>
  <si>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</si>
  <si>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</si>
  <si>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</si>
  <si>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</si>
  <si>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</si>
  <si>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</si>
  <si>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</si>
  <si>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</si>
  <si>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</si>
  <si>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</si>
  <si>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</si>
  <si>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</si>
  <si>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</si>
  <si>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</si>
  <si>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</si>
  <si>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</si>
  <si>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</si>
  <si>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</si>
  <si>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</si>
  <si>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</si>
  <si>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</si>
  <si>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</si>
  <si>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</si>
  <si>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</si>
  <si>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</si>
  <si>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</si>
  <si>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</si>
  <si>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</si>
  <si>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</si>
  <si>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</si>
  <si>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</si>
  <si>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</si>
  <si>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</si>
  <si>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</si>
  <si>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</si>
  <si>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</si>
  <si>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</si>
  <si>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</si>
  <si>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</si>
  <si>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</si>
  <si>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</si>
  <si>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</si>
  <si>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</si>
  <si>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</si>
  <si>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</si>
  <si>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</si>
  <si>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</si>
  <si>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</si>
  <si>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</si>
  <si>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</si>
  <si>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</si>
  <si>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</si>
  <si>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</si>
  <si>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</si>
  <si>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</si>
  <si>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</si>
  <si>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</si>
  <si>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</si>
  <si>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</si>
  <si>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</si>
  <si>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</si>
  <si>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</si>
  <si>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</si>
  <si>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</si>
  <si>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</si>
  <si>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</si>
  <si>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</si>
  <si>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</si>
  <si>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</si>
  <si>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</si>
  <si>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</si>
  <si>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</si>
  <si>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</si>
  <si>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</si>
  <si>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</si>
  <si>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</si>
  <si>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</si>
  <si>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</si>
  <si>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</si>
  <si>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</si>
  <si>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</si>
  <si>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</si>
  <si>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</si>
  <si>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</si>
  <si>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</si>
  <si>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</si>
  <si>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</si>
  <si>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</si>
  <si>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</si>
  <si>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</si>
  <si>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</si>
  <si>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</si>
  <si>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</si>
  <si>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</si>
  <si>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</si>
  <si>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</si>
  <si>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</si>
  <si>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</si>
  <si>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</si>
  <si>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</si>
  <si>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</si>
  <si>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</si>
  <si>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</si>
  <si>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</si>
  <si>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</si>
  <si>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</si>
  <si>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</si>
  <si>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</si>
  <si>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</si>
  <si>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</si>
  <si>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</si>
  <si>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</si>
  <si>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</si>
  <si>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</si>
  <si>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</si>
  <si>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</si>
  <si>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</si>
  <si>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</si>
  <si>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</si>
  <si>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</si>
  <si>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</si>
  <si>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</si>
  <si>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</si>
  <si>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</si>
  <si>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</si>
  <si>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</si>
  <si>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</si>
  <si>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</si>
  <si>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</si>
  <si>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</si>
  <si>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</si>
  <si>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</si>
  <si>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</si>
  <si>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</si>
  <si>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</si>
  <si>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</si>
  <si>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</si>
  <si>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</si>
  <si>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</si>
  <si>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</si>
  <si>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</si>
  <si>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</si>
  <si>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</si>
  <si>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</si>
  <si>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</si>
  <si>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</si>
  <si>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</si>
  <si>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</si>
  <si>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</si>
  <si>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</si>
  <si>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</si>
  <si>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</si>
  <si>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</si>
  <si>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</si>
  <si>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</si>
  <si>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</si>
  <si>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</si>
  <si>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</si>
  <si>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</si>
  <si>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</si>
  <si>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</si>
  <si>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</si>
  <si>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</si>
  <si>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</si>
  <si>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</si>
  <si>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</si>
  <si>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</si>
  <si>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</si>
  <si>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</si>
  <si>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</si>
  <si>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</si>
  <si>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</si>
  <si>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</si>
  <si>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</si>
  <si>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</si>
  <si>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</si>
  <si>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</si>
  <si>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</si>
  <si>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</si>
  <si>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</si>
  <si>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</si>
  <si>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</si>
  <si>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</si>
  <si>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</si>
  <si>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</si>
  <si>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</si>
  <si>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</si>
  <si>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</si>
  <si>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</si>
  <si>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</si>
  <si>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</si>
  <si>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</si>
  <si>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</si>
  <si>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</si>
  <si>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</si>
  <si>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</si>
  <si>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</si>
  <si>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</si>
  <si>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</si>
  <si>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</si>
  <si>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</si>
  <si>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</si>
  <si>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</si>
  <si>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</si>
  <si>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</si>
  <si>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</si>
  <si>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</si>
  <si>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</si>
  <si>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</si>
  <si>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</si>
  <si>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</si>
  <si>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</si>
  <si>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</si>
  <si>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</si>
  <si>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</si>
  <si>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</si>
  <si>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</si>
  <si>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</si>
  <si>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</si>
  <si>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</si>
  <si>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</si>
  <si>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</si>
  <si>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</si>
  <si>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</si>
  <si>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</si>
  <si>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</si>
  <si>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</si>
  <si>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</si>
  <si>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</si>
  <si>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</si>
  <si>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</si>
  <si>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</si>
  <si>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</si>
  <si>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</si>
  <si>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</si>
  <si>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</si>
  <si>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</si>
  <si>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</si>
  <si>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</si>
  <si>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</si>
  <si>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</si>
  <si>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</si>
  <si>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</si>
  <si>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</si>
  <si>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</si>
  <si>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</si>
  <si>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</si>
  <si>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</si>
  <si>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</si>
  <si>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</si>
  <si>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</si>
  <si>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</si>
  <si>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</si>
  <si>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</si>
  <si>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</si>
  <si>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</si>
  <si>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</si>
  <si>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</si>
  <si>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</si>
  <si>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</si>
  <si>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</si>
  <si>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</si>
  <si>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</si>
  <si>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</si>
  <si>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</si>
  <si>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</si>
  <si>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</si>
  <si>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</si>
  <si>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</si>
  <si>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</si>
  <si>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</si>
  <si>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</si>
  <si>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</si>
  <si>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</si>
  <si>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</si>
  <si>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</si>
  <si>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</si>
  <si>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</si>
  <si>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</si>
  <si>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</si>
  <si>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</si>
  <si>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</si>
  <si>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</si>
  <si>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</si>
  <si>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</si>
  <si>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</si>
  <si>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</si>
  <si>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</si>
  <si>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</si>
  <si>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</si>
  <si>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</si>
  <si>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</si>
  <si>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</si>
  <si>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</si>
  <si>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</si>
  <si>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</si>
  <si>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</si>
  <si>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</si>
  <si>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</si>
  <si>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</si>
  <si>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</si>
  <si>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</si>
  <si>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</si>
  <si>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</si>
  <si>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</si>
  <si>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</si>
  <si>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</si>
  <si>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</si>
  <si>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</si>
  <si>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</si>
  <si>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</si>
  <si>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</si>
  <si>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</si>
  <si>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</si>
  <si>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</si>
  <si>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</si>
  <si>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</si>
  <si>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</si>
  <si>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</si>
  <si>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</si>
  <si>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</si>
  <si>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</si>
  <si>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</si>
  <si>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</si>
  <si>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</si>
  <si>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</si>
  <si>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</si>
  <si>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</si>
  <si>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</si>
  <si>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</si>
  <si>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</si>
  <si>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</si>
  <si>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</si>
  <si>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</si>
  <si>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</si>
  <si>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</si>
  <si>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</si>
  <si>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</si>
  <si>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</si>
  <si>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</si>
  <si>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</si>
  <si>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</si>
  <si>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</si>
  <si>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</si>
  <si>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</si>
  <si>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</si>
  <si>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</si>
  <si>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</si>
  <si>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</si>
  <si>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</si>
  <si>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</si>
  <si>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</si>
  <si>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</si>
  <si>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</si>
  <si>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</si>
  <si>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</si>
  <si>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</si>
  <si>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</si>
  <si>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</si>
  <si>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</si>
  <si>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</si>
  <si>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</si>
  <si>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</si>
  <si>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</si>
  <si>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</si>
  <si>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</si>
  <si>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</si>
  <si>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</si>
  <si>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</si>
  <si>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</si>
  <si>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</si>
  <si>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</si>
  <si>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</si>
  <si>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</si>
  <si>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</si>
  <si>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</si>
  <si>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</si>
  <si>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</si>
  <si>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</si>
  <si>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</si>
  <si>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</si>
  <si>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</si>
  <si>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</si>
  <si>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</si>
  <si>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</si>
  <si>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</si>
  <si>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</si>
  <si>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</si>
  <si>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</si>
  <si>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</si>
  <si>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</si>
  <si>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</si>
  <si>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</si>
  <si>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</si>
  <si>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</si>
  <si>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</si>
  <si>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</si>
  <si>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</si>
  <si>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</si>
  <si>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</si>
  <si>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</si>
  <si>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</si>
  <si>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</si>
  <si>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</si>
  <si>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</si>
  <si>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</si>
  <si>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</si>
  <si>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</si>
  <si>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</si>
  <si>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</si>
  <si>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</si>
  <si>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</si>
  <si>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</si>
  <si>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</si>
  <si>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</si>
  <si>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</si>
  <si>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</si>
  <si>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</si>
  <si>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</si>
  <si>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</si>
  <si>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</si>
  <si>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</si>
  <si>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</si>
  <si>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</si>
  <si>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</si>
  <si>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</si>
  <si>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</si>
  <si>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</si>
  <si>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</si>
  <si>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</si>
  <si>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</si>
  <si>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</si>
  <si>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</si>
  <si>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</si>
  <si>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</si>
  <si>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</si>
  <si>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</si>
  <si>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</si>
  <si>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</si>
  <si>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</si>
  <si>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</si>
  <si>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</si>
  <si>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</si>
  <si>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</si>
  <si>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</si>
  <si>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</si>
  <si>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</si>
  <si>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</si>
  <si>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</si>
  <si>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</si>
  <si>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</si>
  <si>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</si>
  <si>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</si>
  <si>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</si>
  <si>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</si>
  <si>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</si>
  <si>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</si>
  <si>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</si>
  <si>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</si>
  <si>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</si>
  <si>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</si>
  <si>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</si>
  <si>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</si>
  <si>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</si>
  <si>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</si>
  <si>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</si>
  <si>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</si>
  <si>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</si>
  <si>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</si>
  <si>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</si>
  <si>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</si>
  <si>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</si>
  <si>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</si>
  <si>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</si>
  <si>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</si>
  <si>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</si>
  <si>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</si>
  <si>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</si>
  <si>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</si>
  <si>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</si>
  <si>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</si>
  <si>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</si>
  <si>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</si>
  <si>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</si>
  <si>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</si>
  <si>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</si>
  <si>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</si>
  <si>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</si>
  <si>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</si>
  <si>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</si>
  <si>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</si>
  <si>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</si>
  <si>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</si>
  <si>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</si>
  <si>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</si>
  <si>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</si>
  <si>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</si>
  <si>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</si>
  <si>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</si>
  <si>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</si>
  <si>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</si>
  <si>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</si>
  <si>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</si>
  <si>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</si>
  <si>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</si>
  <si>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</si>
  <si>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</si>
  <si>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</si>
  <si>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</si>
  <si>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</si>
  <si>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</si>
  <si>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</si>
  <si>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</si>
  <si>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</si>
  <si>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</si>
  <si>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</si>
  <si>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</si>
  <si>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</si>
  <si>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</si>
  <si>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</si>
  <si>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</si>
  <si>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</si>
  <si>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</si>
  <si>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</si>
  <si>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</si>
  <si>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</si>
  <si>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</si>
  <si>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</si>
  <si>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</si>
  <si>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</si>
  <si>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</si>
  <si>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</si>
  <si>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</si>
  <si>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</si>
  <si>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</si>
  <si>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</si>
  <si>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</si>
  <si>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</si>
  <si>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</si>
  <si>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</si>
  <si>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</si>
  <si>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</si>
  <si>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</si>
  <si>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</si>
  <si>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</si>
  <si>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</si>
  <si>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</si>
  <si>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</si>
  <si>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</si>
  <si>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</si>
  <si>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</si>
  <si>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</si>
  <si>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</si>
  <si>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</si>
  <si>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</si>
  <si>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</si>
  <si>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</si>
  <si>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</si>
  <si>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</si>
  <si>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</si>
  <si>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</si>
  <si>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</si>
  <si>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</si>
  <si>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</si>
  <si>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</si>
  <si>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</si>
  <si>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</si>
  <si>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</si>
  <si>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</si>
  <si>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</si>
  <si>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</si>
  <si>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</si>
  <si>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</si>
  <si>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</si>
  <si>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</si>
  <si>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</si>
  <si>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</si>
  <si>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</si>
  <si>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</si>
  <si>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</si>
  <si>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</si>
  <si>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</si>
  <si>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</si>
  <si>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</si>
  <si>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</si>
  <si>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</si>
  <si>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</si>
  <si>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</si>
  <si>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</si>
  <si>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</si>
  <si>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</si>
  <si>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</si>
  <si>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</si>
  <si>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</si>
  <si>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</si>
  <si>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</si>
  <si>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</si>
  <si>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</si>
  <si>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</si>
  <si>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</si>
  <si>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</si>
  <si>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</si>
  <si>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</si>
  <si>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</si>
  <si>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</si>
  <si>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</si>
  <si>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</si>
  <si>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</si>
  <si>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</si>
  <si>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</si>
  <si>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</si>
  <si>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</si>
  <si>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</si>
  <si>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</si>
  <si>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</si>
  <si>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</si>
  <si>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</si>
  <si>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</si>
  <si>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</si>
  <si>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</si>
  <si>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</si>
  <si>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</si>
  <si>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</si>
  <si>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</si>
  <si>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</si>
  <si>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</si>
  <si>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</si>
  <si>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</si>
  <si>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</si>
  <si>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</si>
  <si>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</si>
  <si>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</si>
  <si>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</si>
  <si>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</si>
  <si>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</si>
  <si>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</si>
  <si>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</si>
  <si>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</si>
  <si>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</si>
  <si>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</si>
  <si>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</si>
  <si>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</si>
  <si>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</si>
  <si>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</si>
  <si>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</si>
  <si>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</si>
  <si>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</si>
  <si>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</si>
  <si>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</si>
  <si>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</si>
  <si>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</si>
  <si>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</si>
  <si>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</si>
  <si>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</si>
  <si>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</si>
  <si>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</si>
  <si>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</si>
  <si>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</si>
  <si>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</si>
  <si>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</si>
  <si>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</si>
  <si>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</si>
  <si>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</si>
  <si>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</si>
  <si>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</si>
  <si>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</si>
  <si>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</si>
  <si>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</si>
  <si>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</si>
  <si>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</si>
  <si>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</si>
  <si>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</si>
  <si>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</si>
  <si>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</si>
  <si>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</si>
  <si>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</si>
  <si>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</si>
  <si>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</si>
  <si>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</si>
  <si>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</si>
  <si>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</si>
  <si>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</si>
  <si>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</si>
  <si>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</si>
  <si>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</si>
  <si>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</si>
  <si>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</si>
  <si>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</si>
  <si>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</si>
  <si>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</si>
  <si>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</si>
  <si>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</si>
  <si>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</si>
  <si>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</si>
  <si>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</si>
  <si>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</si>
  <si>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</si>
  <si>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</si>
  <si>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</si>
  <si>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</si>
  <si>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</si>
  <si>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</si>
  <si>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</si>
  <si>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</si>
  <si>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</si>
  <si>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</si>
  <si>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</si>
  <si>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</si>
  <si>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</si>
  <si>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</si>
  <si>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</si>
  <si>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</si>
  <si>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</si>
  <si>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</si>
  <si>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</si>
  <si>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</si>
  <si>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</si>
  <si>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</si>
  <si>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</si>
  <si>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</si>
  <si>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</si>
  <si>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</si>
  <si>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</si>
  <si>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</si>
  <si>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</si>
  <si>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</si>
  <si>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</si>
  <si>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</si>
  <si>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</si>
  <si>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</si>
  <si>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</si>
  <si>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</si>
  <si>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</si>
  <si>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</si>
  <si>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</si>
  <si>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</si>
  <si>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</si>
  <si>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</si>
  <si>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</si>
  <si>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</si>
  <si>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</si>
  <si>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</si>
  <si>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</si>
  <si>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</si>
  <si>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</si>
  <si>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</si>
  <si>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</si>
  <si>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</si>
  <si>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</si>
  <si>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</si>
  <si>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</si>
  <si>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</si>
  <si>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</si>
  <si>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</si>
  <si>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</si>
  <si>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</si>
  <si>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</si>
  <si>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</si>
  <si>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</si>
  <si>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</si>
  <si>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</si>
  <si>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</si>
  <si>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</si>
  <si>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</si>
  <si>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</si>
  <si>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</si>
  <si>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</si>
  <si>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</si>
  <si>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</si>
  <si>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</si>
  <si>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</si>
  <si>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</si>
  <si>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</si>
  <si>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</si>
  <si>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</si>
  <si>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</si>
  <si>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</si>
  <si>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</si>
  <si>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</si>
  <si>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</si>
  <si>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</si>
  <si>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</si>
  <si>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</si>
  <si>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</si>
  <si>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</si>
  <si>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</si>
  <si>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</si>
  <si>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</si>
  <si>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</si>
  <si>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</si>
  <si>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</si>
  <si>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</si>
  <si>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</si>
  <si>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</si>
  <si>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</si>
  <si>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</si>
  <si>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</si>
  <si>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</si>
  <si>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</si>
  <si>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</si>
  <si>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</si>
  <si>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</si>
  <si>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</si>
  <si>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</si>
  <si>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</si>
  <si>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</si>
  <si>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</si>
  <si>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</si>
  <si>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</si>
  <si>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</si>
  <si>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</si>
  <si>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</si>
  <si>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</si>
  <si>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</si>
  <si>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</si>
  <si>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</si>
  <si>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</si>
  <si>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</si>
  <si>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</si>
  <si>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</si>
  <si>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</si>
  <si>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</si>
  <si>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</si>
  <si>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</si>
  <si>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</si>
  <si>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</si>
  <si>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</si>
  <si>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</si>
  <si>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</si>
  <si>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</si>
  <si>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</si>
  <si>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</si>
  <si>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</si>
  <si>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</si>
  <si>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</si>
  <si>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</si>
  <si>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</si>
  <si>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</si>
  <si>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</si>
  <si>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</si>
  <si>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</si>
  <si>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</si>
  <si>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</si>
  <si>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</si>
  <si>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</si>
  <si>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</si>
  <si>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</si>
  <si>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</si>
  <si>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</si>
  <si>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</si>
  <si>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</si>
  <si>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</si>
  <si>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</si>
  <si>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</si>
  <si>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</si>
  <si>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</si>
  <si>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</si>
  <si>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</si>
  <si>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</si>
  <si>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</si>
  <si>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</si>
  <si>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</si>
  <si>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</si>
  <si>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</si>
  <si>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</si>
  <si>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</si>
  <si>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</si>
  <si>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</si>
  <si>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</si>
  <si>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</si>
  <si>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</si>
  <si>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</si>
  <si>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</si>
  <si>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</si>
  <si>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</si>
  <si>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</si>
  <si>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</si>
  <si>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</si>
  <si>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</si>
  <si>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</si>
  <si>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</si>
  <si>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</si>
  <si>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</si>
  <si>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</si>
  <si>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</si>
  <si>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</si>
  <si>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</si>
  <si>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</si>
  <si>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</si>
  <si>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</si>
  <si>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</si>
  <si>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</si>
  <si>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</si>
  <si>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</si>
  <si>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</si>
  <si>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</si>
  <si>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</si>
  <si>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</si>
  <si>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</si>
  <si>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</si>
  <si>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</si>
  <si>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</si>
  <si>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</si>
  <si>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</si>
  <si>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</si>
  <si>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</si>
  <si>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</si>
  <si>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</si>
  <si>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</si>
  <si>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</si>
  <si>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</si>
  <si>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</si>
  <si>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</si>
  <si>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</si>
  <si>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</si>
  <si>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</si>
  <si>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</si>
  <si>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</si>
  <si>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</si>
  <si>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</si>
  <si>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</si>
  <si>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</si>
  <si>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</si>
  <si>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</si>
  <si>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</si>
  <si>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</si>
  <si>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</si>
  <si>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</si>
  <si>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</si>
  <si>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</si>
  <si>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</si>
  <si>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</si>
  <si>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</si>
  <si>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</si>
  <si>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</si>
  <si>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</si>
  <si>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</si>
  <si>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</si>
  <si>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</si>
  <si>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</si>
  <si>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</si>
  <si>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</si>
  <si>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</si>
  <si>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</si>
  <si>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</si>
  <si>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</si>
  <si>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</si>
  <si>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</si>
  <si>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</si>
  <si>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</si>
  <si>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</si>
  <si>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</si>
  <si>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</si>
  <si>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</si>
  <si>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</si>
  <si>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</si>
  <si>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</si>
  <si>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</si>
  <si>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</si>
  <si>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</si>
  <si>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</si>
  <si>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</si>
  <si>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</si>
  <si>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</si>
  <si>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</si>
  <si>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</si>
  <si>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</si>
  <si>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</si>
  <si>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</si>
  <si>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</si>
  <si>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</si>
  <si>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</si>
  <si>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</si>
  <si>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</si>
  <si>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</si>
  <si>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</si>
  <si>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</si>
  <si>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</si>
  <si>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</si>
  <si>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</si>
  <si>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</si>
  <si>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</si>
  <si>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</si>
  <si>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</si>
  <si>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</si>
  <si>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</si>
  <si>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</si>
  <si>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</si>
  <si>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</si>
  <si>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</si>
  <si>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</si>
  <si>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</si>
  <si>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</si>
  <si>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</si>
  <si>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</si>
  <si>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</si>
  <si>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</si>
  <si>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</si>
  <si>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</si>
  <si>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</si>
  <si>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</si>
  <si>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</si>
  <si>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</si>
  <si>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</si>
  <si>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</si>
  <si>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</si>
  <si>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</si>
  <si>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</si>
  <si>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</si>
  <si>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</si>
  <si>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</si>
  <si>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</si>
  <si>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</si>
  <si>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</si>
  <si>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</si>
  <si>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</si>
  <si>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</si>
  <si>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</si>
  <si>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</si>
  <si>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</si>
  <si>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</si>
  <si>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</si>
  <si>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</si>
  <si>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</si>
  <si>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</si>
  <si>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</si>
  <si>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</si>
  <si>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</si>
  <si>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</si>
  <si>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</si>
  <si>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</si>
  <si>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</si>
  <si>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</si>
  <si>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</si>
  <si>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</si>
  <si>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</si>
  <si>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</si>
  <si>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</si>
  <si>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</si>
  <si>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</si>
  <si>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</si>
  <si>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</si>
  <si>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</si>
  <si>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</si>
  <si>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</si>
  <si>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</si>
  <si>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</si>
  <si>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</si>
  <si>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</si>
  <si>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</si>
  <si>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</si>
  <si>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</si>
  <si>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</si>
  <si>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</si>
  <si>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</si>
  <si>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</si>
  <si>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</si>
  <si>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</si>
  <si>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</si>
  <si>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</si>
  <si>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</si>
  <si>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</si>
  <si>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</si>
  <si>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</si>
  <si>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</si>
  <si>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</si>
  <si>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</si>
  <si>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</si>
  <si>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</si>
  <si>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</si>
  <si>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</si>
  <si>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</si>
  <si>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</si>
  <si>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</si>
  <si>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</si>
  <si>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</si>
  <si>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</si>
  <si>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</si>
  <si>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</si>
  <si>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</si>
  <si>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</si>
  <si>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</si>
  <si>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</si>
  <si>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</si>
  <si>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</si>
  <si>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</si>
  <si>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</si>
  <si>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</si>
  <si>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</si>
  <si>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</si>
  <si>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</si>
  <si>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</si>
  <si>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</si>
  <si>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</si>
  <si>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</si>
  <si>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</si>
  <si>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</si>
  <si>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</si>
  <si>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</si>
  <si>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</si>
  <si>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</si>
  <si>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</si>
  <si>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</si>
  <si>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</si>
  <si>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</si>
  <si>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</si>
  <si>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</si>
  <si>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</si>
  <si>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</si>
  <si>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</si>
  <si>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</si>
  <si>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</si>
  <si>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</si>
  <si>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</si>
  <si>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</si>
  <si>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</si>
  <si>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</si>
  <si>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</si>
  <si>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</si>
  <si>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</si>
  <si>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</si>
  <si>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</si>
  <si>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</si>
  <si>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</si>
  <si>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</si>
  <si>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</si>
  <si>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</si>
  <si>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</si>
  <si>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</si>
  <si>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</si>
  <si>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</si>
  <si>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</si>
  <si>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</si>
  <si>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</si>
  <si>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</si>
  <si>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</si>
  <si>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</si>
  <si>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</si>
  <si>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</si>
  <si>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</si>
  <si>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</si>
  <si>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</si>
  <si>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</si>
  <si>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</si>
  <si>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</si>
  <si>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</si>
  <si>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</si>
  <si>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</si>
  <si>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</si>
  <si>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</si>
  <si>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</si>
  <si>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</si>
  <si>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</si>
  <si>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</si>
  <si>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</si>
  <si>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</si>
  <si>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</si>
  <si>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</si>
  <si>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</si>
  <si>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</si>
  <si>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</si>
  <si>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</si>
  <si>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</si>
  <si>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</si>
  <si>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</si>
  <si>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</si>
  <si>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</si>
  <si>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</si>
  <si>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</si>
  <si>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</si>
  <si>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</si>
  <si>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</si>
  <si>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</si>
  <si>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</si>
  <si>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</si>
  <si>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</si>
  <si>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</si>
  <si>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</si>
  <si>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</si>
  <si>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</si>
  <si>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</si>
  <si>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</si>
  <si>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</si>
  <si>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</si>
  <si>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</si>
  <si>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</si>
  <si>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</si>
  <si>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</si>
  <si>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</si>
  <si>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</si>
  <si>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</si>
  <si>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</si>
  <si>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</si>
  <si>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</si>
  <si>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</si>
  <si>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</si>
  <si>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</si>
  <si>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</si>
  <si>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</si>
  <si>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</si>
  <si>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</si>
  <si>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</si>
  <si>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</si>
  <si>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</si>
  <si>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</si>
  <si>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</si>
  <si>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</si>
  <si>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</si>
  <si>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</si>
  <si>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</si>
  <si>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</si>
  <si>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</si>
  <si>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</si>
  <si>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</si>
  <si>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</si>
  <si>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</si>
  <si>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</si>
  <si>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</si>
  <si>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</si>
  <si>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</si>
  <si>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</si>
  <si>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</si>
  <si>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</si>
  <si>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</si>
  <si>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</si>
  <si>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</si>
  <si>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</si>
  <si>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</si>
  <si>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</si>
  <si>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</si>
  <si>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</si>
  <si>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</si>
  <si>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</si>
  <si>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</si>
  <si>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</si>
  <si>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</si>
  <si>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</si>
  <si>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</si>
  <si>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</si>
  <si>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</si>
  <si>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</si>
  <si>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</si>
  <si>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</si>
  <si>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</si>
  <si>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</si>
  <si>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</si>
  <si>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</si>
  <si>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</si>
  <si>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</si>
  <si>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</si>
  <si>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</si>
  <si>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</si>
  <si>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</si>
  <si>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</si>
  <si>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</si>
  <si>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</si>
  <si>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</si>
  <si>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</si>
  <si>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</si>
  <si>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</si>
  <si>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</si>
  <si>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</si>
  <si>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</si>
  <si>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</si>
  <si>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</si>
  <si>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</si>
  <si>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</si>
  <si>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</si>
  <si>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</si>
  <si>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</si>
  <si>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</si>
  <si>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</si>
  <si>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</si>
  <si>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</si>
  <si>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</si>
  <si>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</si>
  <si>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</si>
  <si>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</si>
  <si>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</si>
  <si>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</si>
  <si>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</si>
  <si>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</si>
  <si>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</si>
  <si>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</si>
  <si>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</si>
  <si>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</si>
  <si>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</si>
  <si>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</si>
  <si>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</si>
  <si>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</si>
  <si>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</si>
  <si>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</si>
  <si>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</si>
  <si>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</si>
  <si>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</si>
  <si>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</si>
  <si>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</si>
  <si>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</si>
  <si>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</si>
  <si>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</si>
  <si>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</si>
  <si>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</si>
  <si>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</si>
  <si>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</si>
  <si>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</si>
  <si>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</si>
  <si>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</si>
  <si>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</si>
  <si>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</si>
  <si>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</si>
  <si>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</si>
  <si>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</si>
  <si>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</si>
  <si>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</si>
  <si>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</si>
  <si>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</si>
  <si>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</si>
  <si>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</si>
  <si>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</si>
  <si>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</si>
  <si>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</si>
  <si>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</si>
  <si>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</si>
  <si>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</si>
  <si>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</si>
  <si>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</si>
  <si>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</si>
  <si>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</si>
  <si>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</si>
  <si>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</si>
  <si>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</si>
  <si>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</si>
  <si>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</si>
  <si>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</si>
  <si>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</si>
  <si>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</si>
  <si>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</si>
  <si>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</si>
  <si>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</si>
  <si>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</si>
  <si>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</si>
  <si>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</si>
  <si>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</si>
  <si>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</si>
  <si>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</si>
  <si>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</si>
  <si>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</si>
  <si>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</si>
  <si>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</si>
  <si>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</si>
  <si>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</si>
  <si>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</si>
  <si>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</si>
  <si>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</si>
  <si>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</si>
  <si>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</si>
  <si>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</si>
  <si>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</si>
  <si>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</si>
  <si>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</si>
  <si>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</si>
  <si>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</si>
  <si>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</si>
  <si>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</si>
  <si>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</si>
  <si>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</si>
  <si>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</si>
  <si>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</si>
  <si>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</si>
  <si>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</si>
  <si>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</si>
  <si>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</si>
  <si>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</si>
  <si>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</si>
  <si>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</si>
  <si>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</si>
  <si>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</si>
  <si>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</si>
  <si>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</si>
  <si>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</si>
  <si>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</si>
  <si>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</si>
  <si>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</si>
  <si>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</si>
  <si>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</si>
  <si>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</si>
  <si>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</si>
  <si>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</si>
  <si>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</si>
  <si>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</si>
  <si>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</si>
  <si>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</si>
  <si>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</si>
  <si>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</si>
  <si>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</si>
  <si>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</si>
  <si>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</si>
  <si>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</si>
  <si>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</si>
  <si>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</si>
  <si>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</si>
  <si>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</si>
  <si>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</si>
  <si>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</si>
  <si>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</si>
  <si>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</si>
  <si>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</si>
  <si>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</si>
  <si>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</si>
  <si>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</si>
  <si>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</si>
  <si>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</si>
  <si>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</si>
  <si>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</si>
  <si>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</si>
  <si>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</si>
  <si>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</si>
  <si>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</si>
  <si>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</si>
  <si>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</si>
  <si>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</si>
  <si>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</si>
  <si>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</si>
  <si>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</si>
  <si>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</si>
  <si>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</si>
  <si>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</si>
  <si>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</si>
  <si>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</si>
  <si>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</si>
  <si>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</si>
  <si>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</si>
  <si>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</si>
  <si>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</si>
  <si>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</si>
  <si>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</si>
  <si>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</si>
  <si>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</si>
  <si>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</si>
  <si>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</si>
  <si>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</si>
  <si>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</si>
  <si>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</si>
  <si>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</si>
  <si>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</si>
  <si>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</si>
  <si>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</si>
  <si>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</si>
  <si>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</si>
  <si>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</si>
  <si>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</si>
  <si>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</si>
  <si>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</si>
  <si>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</si>
  <si>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</si>
  <si>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</si>
  <si>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</si>
  <si>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</si>
  <si>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</si>
  <si>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</si>
  <si>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</si>
  <si>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</si>
  <si>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</si>
  <si>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</si>
  <si>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</si>
  <si>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</si>
  <si>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</si>
  <si>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</si>
  <si>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</si>
  <si>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</si>
  <si>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</si>
  <si>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</si>
  <si>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</si>
  <si>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</si>
  <si>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</si>
  <si>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</si>
  <si>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</si>
  <si>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</si>
  <si>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</si>
  <si>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</si>
  <si>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</si>
  <si>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</si>
  <si>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</si>
  <si>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</si>
  <si>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</si>
  <si>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</si>
  <si>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</si>
  <si>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</si>
  <si>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</si>
  <si>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</si>
  <si>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</si>
  <si>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</si>
  <si>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</si>
  <si>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</si>
  <si>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</si>
  <si>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</si>
  <si>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</si>
  <si>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</si>
  <si>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</si>
  <si>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</si>
  <si>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</si>
  <si>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</si>
  <si>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</si>
  <si>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</si>
  <si>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</si>
  <si>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</si>
  <si>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</si>
  <si>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</si>
  <si>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</si>
  <si>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</si>
  <si>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</si>
  <si>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</si>
  <si>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</si>
  <si>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</si>
  <si>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</si>
  <si>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</si>
  <si>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</si>
  <si>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</si>
  <si>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</si>
  <si>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</si>
  <si>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</si>
  <si>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</si>
  <si>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</si>
  <si>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</si>
  <si>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</si>
  <si>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</si>
  <si>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</si>
  <si>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</si>
  <si>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</si>
  <si>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</si>
  <si>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</si>
  <si>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</si>
  <si>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</si>
  <si>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</si>
  <si>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</si>
  <si>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</si>
  <si>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</si>
  <si>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</si>
  <si>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</si>
  <si>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</si>
  <si>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</si>
  <si>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</si>
  <si>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</si>
  <si>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</si>
  <si>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</si>
  <si>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</si>
  <si>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</si>
  <si>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</si>
  <si>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</si>
  <si>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</si>
  <si>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</si>
  <si>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</si>
  <si>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</si>
  <si>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</si>
  <si>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</si>
  <si>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</si>
  <si>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</si>
  <si>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</si>
  <si>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</si>
  <si>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</si>
  <si>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</si>
  <si>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</si>
  <si>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</si>
  <si>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</si>
  <si>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</si>
  <si>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</si>
  <si>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</si>
  <si>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</si>
  <si>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</si>
  <si>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</si>
  <si>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</si>
  <si>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</si>
  <si>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</si>
  <si>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</si>
  <si>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</si>
  <si>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</si>
  <si>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</si>
  <si>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</si>
  <si>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</si>
  <si>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</si>
  <si>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</si>
  <si>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</si>
  <si>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</si>
  <si>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</si>
  <si>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</si>
  <si>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</si>
  <si>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</si>
  <si>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</si>
  <si>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</si>
  <si>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</si>
  <si>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</si>
  <si>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</si>
  <si>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</si>
  <si>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</si>
  <si>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</si>
  <si>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</si>
  <si>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</si>
  <si>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</si>
  <si>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</si>
  <si>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</si>
  <si>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</si>
  <si>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</si>
  <si>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</si>
  <si>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</si>
  <si>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</si>
  <si>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</si>
  <si>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</si>
  <si>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</si>
  <si>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</si>
  <si>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</si>
  <si>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</si>
  <si>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</si>
  <si>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</si>
  <si>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</si>
  <si>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</si>
  <si>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</si>
  <si>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</si>
  <si>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</si>
  <si>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</si>
  <si>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</si>
  <si>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</si>
  <si>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</si>
  <si>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</si>
  <si>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</si>
  <si>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</si>
  <si>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</si>
  <si>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</si>
  <si>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</si>
  <si>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</si>
  <si>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</si>
  <si>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</si>
  <si>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</si>
  <si>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</si>
  <si>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</si>
  <si>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</si>
  <si>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</si>
  <si>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</si>
  <si>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</si>
  <si>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</si>
  <si>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</si>
  <si>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</si>
  <si>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</si>
  <si>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</si>
  <si>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</si>
  <si>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</si>
  <si>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</si>
  <si>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</si>
  <si>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</si>
  <si>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</si>
  <si>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</si>
  <si>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</si>
  <si>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</si>
  <si>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</si>
  <si>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</si>
  <si>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</si>
  <si>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</si>
  <si>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</si>
  <si>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</si>
  <si>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</si>
  <si>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</si>
  <si>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</si>
  <si>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</si>
  <si>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</si>
  <si>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</si>
  <si>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</si>
  <si>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</si>
  <si>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</si>
  <si>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</si>
  <si>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</si>
  <si>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</si>
  <si>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</si>
  <si>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</si>
  <si>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</si>
  <si>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</si>
  <si>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</si>
  <si>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</si>
  <si>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</si>
  <si>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</si>
  <si>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</si>
  <si>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</si>
  <si>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</si>
  <si>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</si>
  <si>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</si>
  <si>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</si>
  <si>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</si>
  <si>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</si>
  <si>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</si>
  <si>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</si>
  <si>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</si>
  <si>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</si>
  <si>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</si>
  <si>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</si>
  <si>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</si>
  <si>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</si>
  <si>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</si>
  <si>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</si>
  <si>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</si>
  <si>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</si>
  <si>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</si>
  <si>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</si>
  <si>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</si>
  <si>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</si>
  <si>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</si>
  <si>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</si>
  <si>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</si>
  <si>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</si>
  <si>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</si>
  <si>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</si>
  <si>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</si>
  <si>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</si>
  <si>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</si>
  <si>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</si>
  <si>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</si>
  <si>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</si>
  <si>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</si>
  <si>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</si>
  <si>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</si>
  <si>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</si>
  <si>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</si>
  <si>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</si>
  <si>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</si>
  <si>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</si>
  <si>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</si>
  <si>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</si>
  <si>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</si>
  <si>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</si>
  <si>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</si>
  <si>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</si>
  <si>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</si>
  <si>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</si>
  <si>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</si>
  <si>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</si>
  <si>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</si>
  <si>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</si>
  <si>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</si>
  <si>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</si>
  <si>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</si>
  <si>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</si>
  <si>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</si>
  <si>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</si>
  <si>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</si>
  <si>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</si>
  <si>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</si>
  <si>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</si>
  <si>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</si>
  <si>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</si>
  <si>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</si>
  <si>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</si>
  <si>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</si>
  <si>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</si>
  <si>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</si>
  <si>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</si>
  <si>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</si>
  <si>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</si>
  <si>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</si>
  <si>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</si>
  <si>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</si>
  <si>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</si>
  <si>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</si>
  <si>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</si>
  <si>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</si>
  <si>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</si>
  <si>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</si>
  <si>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</si>
  <si>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</si>
  <si>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</si>
  <si>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</si>
  <si>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</si>
  <si>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</si>
  <si>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</si>
  <si>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</si>
  <si>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</si>
  <si>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</si>
  <si>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</si>
  <si>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</si>
  <si>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</si>
  <si>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</si>
  <si>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</si>
  <si>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</si>
  <si>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</si>
  <si>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</si>
  <si>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</si>
  <si>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</si>
  <si>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</si>
  <si>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</si>
  <si>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</si>
  <si>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</si>
  <si>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</si>
  <si>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</si>
  <si>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</si>
  <si>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</si>
  <si>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</si>
  <si>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</si>
  <si>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</si>
  <si>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</si>
  <si>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</si>
  <si>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</si>
  <si>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</si>
  <si>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</si>
  <si>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</si>
  <si>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</si>
  <si>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</si>
  <si>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</si>
  <si>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</si>
  <si>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</si>
  <si>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</si>
  <si>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</si>
  <si>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</si>
  <si>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</si>
  <si>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</si>
  <si>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</si>
  <si>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</si>
  <si>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</si>
  <si>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</si>
  <si>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</si>
  <si>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</si>
  <si>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</si>
  <si>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</si>
  <si>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</si>
  <si>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</si>
  <si>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</si>
  <si>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</si>
  <si>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</si>
  <si>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</si>
  <si>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</si>
  <si>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</si>
  <si>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</si>
  <si>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</si>
  <si>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</si>
  <si>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</si>
  <si>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</si>
  <si>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</si>
  <si>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</si>
  <si>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</si>
  <si>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</si>
  <si>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</si>
  <si>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</si>
  <si>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</si>
  <si>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</si>
  <si>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</si>
  <si>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</si>
  <si>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</si>
  <si>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</si>
  <si>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</si>
  <si>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</si>
  <si>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</si>
  <si>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</si>
  <si>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</si>
  <si>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</si>
  <si>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</si>
  <si>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</si>
  <si>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</si>
  <si>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</si>
  <si>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</si>
  <si>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</si>
  <si>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</si>
  <si>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</si>
  <si>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</si>
  <si>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</si>
  <si>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</si>
  <si>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</si>
  <si>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</si>
  <si>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</si>
  <si>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</si>
  <si>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</si>
  <si>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</si>
  <si>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</si>
  <si>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</si>
  <si>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</si>
  <si>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</si>
  <si>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</si>
  <si>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</si>
  <si>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</si>
  <si>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</si>
  <si>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</si>
  <si>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</si>
  <si>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</si>
  <si>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</si>
  <si>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</si>
  <si>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</si>
  <si>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</si>
  <si>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</si>
  <si>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</si>
  <si>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</si>
  <si>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</si>
  <si>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</si>
  <si>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</si>
  <si>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</si>
  <si>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</si>
  <si>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</si>
  <si>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</si>
  <si>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</si>
  <si>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</si>
  <si>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</si>
  <si>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</si>
  <si>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</si>
  <si>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</si>
  <si>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</si>
  <si>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</si>
  <si>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</si>
  <si>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</si>
  <si>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</si>
  <si>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</si>
  <si>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</si>
  <si>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</si>
  <si>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</si>
  <si>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</si>
  <si>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</si>
  <si>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</si>
  <si>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</si>
  <si>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</si>
  <si>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</si>
  <si>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</si>
  <si>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</si>
  <si>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</si>
  <si>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</si>
  <si>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</si>
  <si>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</si>
  <si>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</si>
  <si>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</si>
  <si>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</si>
  <si>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</si>
  <si>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</si>
  <si>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</si>
  <si>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</si>
  <si>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</si>
  <si>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</si>
  <si>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</si>
  <si>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</si>
  <si>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</si>
  <si>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</si>
  <si>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</si>
  <si>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</si>
  <si>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</si>
  <si>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</si>
  <si>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</si>
  <si>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</si>
  <si>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</si>
  <si>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</si>
  <si>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</si>
  <si>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</si>
  <si>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</si>
  <si>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</si>
  <si>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</si>
  <si>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</si>
  <si>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</si>
  <si>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</si>
  <si>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</si>
  <si>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</si>
  <si>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</si>
  <si>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</si>
  <si>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</si>
  <si>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</si>
  <si>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</si>
  <si>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</si>
  <si>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</si>
  <si>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</si>
  <si>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</si>
  <si>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</si>
  <si>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</si>
  <si>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</si>
  <si>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</si>
  <si>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</si>
  <si>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</si>
  <si>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</si>
  <si>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</si>
  <si>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</si>
  <si>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</si>
  <si>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</si>
  <si>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</si>
  <si>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</si>
  <si>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</si>
  <si>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</si>
  <si>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</si>
  <si>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</si>
  <si>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</si>
  <si>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</si>
  <si>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</si>
  <si>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</si>
  <si>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</si>
  <si>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</si>
  <si>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</si>
  <si>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</si>
  <si>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</si>
  <si>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</si>
  <si>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</si>
  <si>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</si>
  <si>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</si>
  <si>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</si>
  <si>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</si>
  <si>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</si>
  <si>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</si>
  <si>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</si>
  <si>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</si>
  <si>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</si>
  <si>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</si>
  <si>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</si>
  <si>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</si>
  <si>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</si>
  <si>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</si>
  <si>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</si>
  <si>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</si>
  <si>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</si>
  <si>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</si>
  <si>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</si>
  <si>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</si>
  <si>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</si>
  <si>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</si>
  <si>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</si>
  <si>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</si>
  <si>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</si>
  <si>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</si>
  <si>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</si>
  <si>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</si>
  <si>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</si>
  <si>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</si>
  <si>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</si>
  <si>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</si>
  <si>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</si>
  <si>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</si>
  <si>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</si>
  <si>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</si>
  <si>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</si>
  <si>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</si>
  <si>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</si>
  <si>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</si>
  <si>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</si>
  <si>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</si>
  <si>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</si>
  <si>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</si>
  <si>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</si>
  <si>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</si>
  <si>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</si>
  <si>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</si>
  <si>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</si>
  <si>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</si>
  <si>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</si>
  <si>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</si>
  <si>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</si>
  <si>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</si>
  <si>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</si>
  <si>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</si>
  <si>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</si>
  <si>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</si>
  <si>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</si>
  <si>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</si>
  <si>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</si>
  <si>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</si>
  <si>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</si>
  <si>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</si>
  <si>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</si>
  <si>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</si>
  <si>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</si>
  <si>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</si>
  <si>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</si>
  <si>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</si>
  <si>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</si>
  <si>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</si>
  <si>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</si>
  <si>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</si>
  <si>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</si>
  <si>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</si>
  <si>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</si>
  <si>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</si>
  <si>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</si>
  <si>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</si>
  <si>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</si>
  <si>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</si>
  <si>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</si>
  <si>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</si>
  <si>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</si>
  <si>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</si>
  <si>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</si>
  <si>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</si>
  <si>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</si>
  <si>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</si>
  <si>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</si>
  <si>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</si>
  <si>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</si>
  <si>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</si>
  <si>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</si>
  <si>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</si>
  <si>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</si>
  <si>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</si>
  <si>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</si>
  <si>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</si>
  <si>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</si>
  <si>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</si>
  <si>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</si>
  <si>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</si>
  <si>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</si>
  <si>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</si>
  <si>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</si>
  <si>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</si>
  <si>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</si>
  <si>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</si>
  <si>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</si>
  <si>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</si>
  <si>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</si>
  <si>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</si>
  <si>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</si>
  <si>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</si>
  <si>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</si>
  <si>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</si>
  <si>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</si>
  <si>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</si>
  <si>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</si>
  <si>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</si>
  <si>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</si>
  <si>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</si>
  <si>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</si>
  <si>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</si>
  <si>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</si>
  <si>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</si>
  <si>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</si>
  <si>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</si>
  <si>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</si>
  <si>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</si>
  <si>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</si>
  <si>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</si>
  <si>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</si>
  <si>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</si>
  <si>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</si>
  <si>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</si>
  <si>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</si>
  <si>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</si>
  <si>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</si>
  <si>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</si>
  <si>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</si>
  <si>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</si>
  <si>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</si>
  <si>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</si>
  <si>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</si>
  <si>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</si>
  <si>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</si>
  <si>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</si>
  <si>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</si>
  <si>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</si>
  <si>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</si>
  <si>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</si>
  <si>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</si>
  <si>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</si>
  <si>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</si>
  <si>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</si>
  <si>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</si>
  <si>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</si>
  <si>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</si>
  <si>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</si>
  <si>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</si>
  <si>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</si>
  <si>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</si>
  <si>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</si>
  <si>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</si>
  <si>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</si>
  <si>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</si>
  <si>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</si>
  <si>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</si>
  <si>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</si>
  <si>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</si>
  <si>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</si>
  <si>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</si>
  <si>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</si>
  <si>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</si>
  <si>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</si>
  <si>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</si>
  <si>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</si>
  <si>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</si>
  <si>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</si>
  <si>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</si>
  <si>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</si>
  <si>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</si>
  <si>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</si>
  <si>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</si>
  <si>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</si>
  <si>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</si>
  <si>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</si>
  <si>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</si>
  <si>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</si>
  <si>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</si>
  <si>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</si>
  <si>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</si>
  <si>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</si>
  <si>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</si>
  <si>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</si>
  <si>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</si>
  <si>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</si>
  <si>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</si>
  <si>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</si>
  <si>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</si>
  <si>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</si>
  <si>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</si>
  <si>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</si>
  <si>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</si>
  <si>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</si>
  <si>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</si>
  <si>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</si>
  <si>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</si>
  <si>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</si>
  <si>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</si>
  <si>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</si>
  <si>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</si>
  <si>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</si>
  <si>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</si>
  <si>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</si>
  <si>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</si>
  <si>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</si>
  <si>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</si>
  <si>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</si>
  <si>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</si>
  <si>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</si>
  <si>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</si>
  <si>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</si>
  <si>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</si>
  <si>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</si>
  <si>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</si>
  <si>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</si>
  <si>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</si>
  <si>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</si>
  <si>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</si>
  <si>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</si>
  <si>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</si>
  <si>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</si>
  <si>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</si>
  <si>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</si>
  <si>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</si>
  <si>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</si>
  <si>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</si>
  <si>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</si>
  <si>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</si>
  <si>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</si>
  <si>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</si>
  <si>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</si>
  <si>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</si>
  <si>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</si>
  <si>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</si>
  <si>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</si>
  <si>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</si>
  <si>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</si>
  <si>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</si>
  <si>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</si>
  <si>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</si>
  <si>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</si>
  <si>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</si>
  <si>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</si>
  <si>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</si>
  <si>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</si>
  <si>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</si>
  <si>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</si>
  <si>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</si>
  <si>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</si>
  <si>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</si>
  <si>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</si>
  <si>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</si>
  <si>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</si>
  <si>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</si>
  <si>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</si>
  <si>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</si>
  <si>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</si>
  <si>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</si>
  <si>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</si>
  <si>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</si>
  <si>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</si>
  <si>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</si>
  <si>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</si>
  <si>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</si>
  <si>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</si>
  <si>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</si>
  <si>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</si>
  <si>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</si>
  <si>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</si>
  <si>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</si>
  <si>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</si>
  <si>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</si>
  <si>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</si>
  <si>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</si>
  <si>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</si>
  <si>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</si>
  <si>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</si>
  <si>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</si>
  <si>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</si>
  <si>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</si>
  <si>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</si>
  <si>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</si>
  <si>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</si>
  <si>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</si>
  <si>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</si>
  <si>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</si>
  <si>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</si>
  <si>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</si>
  <si>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</si>
  <si>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</si>
  <si>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</si>
  <si>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</si>
  <si>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</si>
  <si>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</si>
  <si>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</si>
  <si>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</si>
  <si>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</si>
  <si>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</si>
  <si>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</si>
  <si>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</si>
  <si>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</si>
  <si>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</si>
  <si>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</si>
  <si>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</si>
  <si>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</si>
  <si>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</si>
  <si>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</si>
  <si>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</si>
  <si>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</si>
  <si>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</si>
  <si>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</si>
  <si>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</si>
  <si>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</si>
  <si>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</si>
  <si>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</si>
  <si>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</si>
  <si>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</si>
  <si>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</si>
  <si>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</si>
  <si>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</si>
  <si>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</si>
  <si>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</si>
  <si>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</si>
  <si>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</si>
  <si>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</si>
  <si>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</si>
  <si>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</si>
  <si>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</si>
  <si>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</si>
  <si>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</si>
  <si>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</si>
  <si>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</si>
  <si>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</si>
  <si>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</si>
  <si>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</si>
  <si>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</si>
  <si>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</si>
  <si>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</si>
  <si>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</si>
  <si>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</si>
  <si>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</si>
  <si>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</si>
  <si>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</si>
  <si>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</si>
  <si>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</si>
  <si>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</si>
  <si>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</si>
  <si>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</si>
  <si>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</si>
  <si>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</si>
  <si>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</si>
  <si>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</si>
  <si>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</si>
  <si>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</si>
  <si>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</si>
  <si>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</si>
  <si>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</si>
  <si>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</si>
  <si>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</si>
  <si>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</si>
  <si>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</si>
  <si>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</si>
  <si>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</si>
  <si>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</si>
  <si>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</si>
  <si>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</si>
  <si>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</si>
  <si>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</si>
  <si>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</si>
  <si>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</si>
  <si>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</si>
  <si>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</si>
  <si>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</si>
  <si>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</si>
  <si>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</si>
  <si>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</si>
  <si>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</si>
  <si>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</si>
  <si>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</si>
  <si>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</si>
  <si>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</si>
  <si>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</si>
  <si>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</si>
  <si>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</si>
  <si>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</si>
  <si>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</si>
  <si>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</si>
  <si>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</si>
  <si>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</si>
  <si>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</si>
  <si>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</si>
  <si>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</si>
  <si>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</si>
  <si>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</si>
  <si>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</si>
  <si>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</si>
  <si>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</si>
  <si>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</si>
  <si>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</si>
  <si>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</si>
  <si>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</si>
  <si>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</si>
  <si>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</si>
  <si>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</si>
  <si>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</si>
  <si>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</si>
  <si>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</si>
  <si>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</si>
  <si>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</si>
  <si>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</si>
  <si>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</si>
  <si>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</si>
  <si>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</si>
  <si>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</si>
  <si>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</si>
  <si>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</si>
  <si>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</si>
  <si>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</si>
  <si>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</si>
  <si>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</si>
  <si>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</si>
  <si>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</si>
  <si>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</si>
  <si>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</si>
  <si>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</si>
  <si>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</si>
  <si>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</si>
  <si>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</si>
  <si>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</si>
  <si>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</si>
  <si>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</si>
  <si>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</si>
  <si>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</si>
  <si>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</si>
  <si>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</si>
  <si>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</si>
  <si>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</si>
  <si>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</si>
  <si>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</si>
  <si>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</si>
  <si>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</si>
  <si>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</si>
  <si>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</si>
  <si>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</si>
  <si>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</si>
  <si>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</si>
  <si>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</si>
  <si>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</si>
  <si>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</si>
  <si>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</si>
  <si>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</si>
  <si>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</si>
  <si>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</si>
  <si>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</si>
  <si>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</si>
  <si>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</si>
  <si>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</si>
  <si>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</si>
  <si>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</si>
  <si>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</si>
  <si>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</si>
  <si>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</si>
  <si>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</si>
  <si>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</si>
  <si>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</si>
  <si>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</si>
  <si>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</si>
  <si>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</si>
  <si>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</si>
  <si>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</si>
  <si>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</si>
  <si>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</si>
  <si>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</si>
  <si>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</si>
  <si>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</si>
  <si>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</si>
  <si>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</si>
  <si>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</si>
  <si>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</si>
  <si>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</si>
  <si>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</si>
  <si>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</si>
  <si>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</si>
  <si>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</si>
  <si>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</si>
  <si>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</si>
  <si>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</si>
  <si>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</si>
  <si>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</si>
  <si>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</si>
  <si>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</si>
  <si>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</si>
  <si>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</si>
  <si>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</si>
  <si>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</si>
  <si>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</si>
  <si>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</si>
  <si>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</si>
  <si>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</si>
  <si>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</si>
  <si>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</si>
  <si>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</si>
  <si>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</si>
  <si>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</si>
  <si>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</si>
  <si>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</si>
  <si>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</si>
  <si>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</si>
  <si>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</si>
  <si>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</si>
  <si>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</si>
  <si>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</si>
  <si>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</si>
  <si>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</si>
  <si>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</si>
  <si>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</si>
  <si>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</si>
  <si>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</si>
  <si>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</si>
  <si>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</si>
  <si>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</si>
  <si>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</si>
  <si>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</si>
  <si>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</si>
  <si>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</si>
  <si>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</si>
  <si>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</si>
  <si>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</si>
  <si>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</si>
  <si>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</si>
  <si>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</si>
  <si>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</si>
  <si>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</si>
  <si>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</si>
  <si>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</si>
  <si>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</si>
  <si>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</si>
  <si>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</si>
  <si>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</si>
  <si>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</si>
  <si>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</si>
  <si>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</si>
  <si>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</si>
  <si>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</si>
  <si>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</si>
  <si>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</si>
  <si>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</si>
  <si>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</si>
  <si>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</si>
  <si>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</si>
  <si>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</si>
  <si>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</si>
  <si>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</si>
  <si>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</si>
  <si>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</si>
  <si>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</si>
  <si>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</si>
  <si>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</si>
  <si>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</si>
  <si>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</si>
  <si>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</si>
  <si>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</si>
  <si>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</si>
  <si>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</si>
  <si>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</si>
  <si>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</si>
  <si>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</si>
  <si>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</si>
  <si>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</si>
  <si>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</si>
  <si>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</si>
  <si>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</si>
  <si>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</si>
  <si>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</si>
  <si>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</si>
  <si>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</si>
  <si>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</si>
  <si>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</si>
  <si>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</si>
  <si>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</si>
  <si>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</si>
  <si>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</si>
  <si>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</si>
  <si>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</si>
  <si>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</si>
  <si>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</si>
  <si>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</si>
  <si>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</si>
  <si>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</si>
  <si>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</si>
  <si>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</si>
  <si>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</si>
  <si>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</si>
  <si>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</si>
  <si>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</si>
  <si>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</si>
  <si>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</si>
  <si>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</si>
  <si>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</si>
  <si>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</si>
  <si>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</si>
  <si>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</si>
  <si>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</si>
  <si>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</si>
  <si>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</si>
  <si>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</si>
  <si>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</si>
  <si>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</si>
  <si>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</si>
  <si>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</si>
  <si>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</si>
  <si>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</si>
  <si>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</si>
  <si>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</si>
  <si>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</si>
  <si>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</si>
  <si>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</si>
  <si>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</si>
  <si>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</si>
  <si>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</si>
  <si>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</si>
  <si>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</si>
  <si>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</si>
  <si>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</si>
  <si>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</si>
  <si>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</si>
  <si>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</si>
  <si>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</si>
  <si>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</si>
  <si>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</si>
  <si>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</si>
  <si>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</si>
  <si>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</si>
  <si>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</si>
  <si>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</si>
  <si>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</si>
  <si>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</si>
  <si>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</si>
  <si>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</si>
  <si>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</si>
  <si>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</si>
  <si>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</si>
  <si>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</si>
  <si>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</si>
  <si>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</si>
  <si>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</si>
  <si>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</si>
  <si>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</si>
  <si>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</si>
  <si>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</si>
  <si>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</si>
  <si>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</si>
  <si>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</si>
  <si>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</si>
  <si>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</si>
  <si>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</si>
  <si>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</si>
  <si>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</si>
  <si>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</si>
  <si>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</si>
  <si>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</si>
  <si>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</si>
  <si>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</si>
  <si>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</si>
  <si>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</si>
  <si>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</si>
  <si>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</si>
  <si>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</si>
  <si>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</si>
  <si>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</si>
  <si>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</si>
  <si>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</si>
  <si>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</si>
  <si>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</si>
  <si>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</si>
  <si>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</si>
  <si>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</si>
  <si>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</si>
  <si>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</si>
  <si>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</si>
  <si>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</si>
  <si>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</si>
  <si>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</si>
  <si>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</si>
  <si>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</si>
  <si>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</si>
  <si>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</si>
  <si>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</si>
  <si>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</si>
  <si>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</si>
  <si>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</si>
  <si>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</si>
  <si>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</si>
  <si>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</si>
  <si>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</si>
  <si>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</si>
  <si>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</si>
  <si>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</si>
  <si>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</si>
  <si>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</si>
  <si>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</si>
  <si>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</si>
  <si>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</si>
  <si>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</si>
  <si>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</si>
  <si>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</si>
  <si>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</si>
  <si>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</si>
  <si>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</si>
  <si>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</si>
  <si>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</si>
  <si>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</si>
  <si>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</si>
  <si>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</si>
  <si>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</si>
  <si>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</si>
  <si>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</si>
  <si>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</si>
  <si>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</si>
  <si>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</si>
  <si>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</si>
  <si>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</si>
  <si>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</si>
  <si>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</si>
  <si>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</si>
  <si>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</si>
  <si>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</si>
  <si>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</si>
  <si>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</si>
  <si>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</si>
  <si>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</si>
  <si>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</si>
  <si>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</si>
  <si>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</si>
  <si>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</si>
  <si>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</si>
  <si>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</si>
  <si>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</si>
  <si>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</si>
  <si>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</si>
  <si>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</si>
  <si>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</si>
  <si>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</si>
  <si>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</si>
  <si>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</si>
  <si>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</si>
  <si>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</si>
  <si>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</si>
  <si>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</si>
  <si>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</si>
  <si>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</si>
  <si>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</si>
  <si>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</si>
  <si>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</si>
  <si>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</si>
  <si>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</si>
  <si>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</si>
  <si>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</si>
  <si>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</si>
  <si>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</si>
  <si>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</si>
  <si>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</si>
  <si>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</si>
  <si>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</si>
  <si>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</si>
  <si>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</si>
  <si>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</si>
  <si>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</si>
  <si>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</si>
  <si>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</si>
  <si>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</si>
  <si>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</si>
  <si>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</si>
  <si>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</si>
  <si>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</si>
  <si>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</si>
  <si>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</si>
  <si>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</si>
  <si>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</si>
  <si>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</si>
  <si>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</si>
  <si>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</si>
  <si>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</si>
  <si>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</si>
  <si>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</si>
  <si>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</si>
  <si>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</si>
  <si>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</si>
  <si>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</si>
  <si>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</si>
  <si>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</si>
  <si>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</si>
  <si>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</si>
  <si>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</si>
  <si>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</si>
  <si>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</si>
  <si>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</si>
  <si>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</si>
  <si>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</si>
  <si>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</si>
  <si>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</si>
  <si>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</si>
  <si>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</si>
  <si>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</si>
  <si>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</si>
  <si>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</si>
  <si>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</si>
  <si>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</si>
  <si>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</si>
  <si>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</si>
  <si>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</si>
  <si>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</si>
  <si>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</si>
  <si>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</si>
  <si>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</si>
  <si>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</si>
  <si>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</si>
  <si>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</si>
  <si>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</si>
  <si>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</si>
  <si>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</si>
  <si>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</si>
  <si>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</si>
  <si>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</si>
  <si>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</si>
  <si>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</si>
  <si>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</si>
  <si>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</si>
  <si>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</si>
  <si>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</si>
  <si>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</si>
  <si>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</si>
  <si>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</si>
  <si>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</si>
  <si>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</si>
  <si>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</si>
  <si>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</si>
  <si>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</si>
  <si>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</si>
  <si>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</si>
  <si>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</si>
  <si>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</si>
  <si>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</si>
  <si>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</si>
  <si>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</si>
  <si>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</si>
  <si>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</si>
  <si>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</si>
  <si>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</si>
  <si>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</si>
  <si>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</si>
  <si>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</si>
  <si>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</si>
  <si>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</si>
  <si>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</si>
  <si>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</si>
  <si>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</si>
  <si>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</si>
  <si>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</si>
  <si>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</si>
  <si>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</si>
  <si>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</si>
  <si>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</si>
  <si>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</si>
  <si>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</si>
  <si>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</si>
  <si>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</si>
  <si>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</si>
  <si>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</si>
  <si>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</si>
  <si>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</si>
  <si>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</si>
  <si>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</si>
  <si>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</si>
  <si>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</si>
  <si>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</si>
  <si>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</si>
  <si>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</si>
  <si>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</si>
  <si>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</si>
  <si>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</si>
  <si>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</si>
  <si>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</si>
  <si>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</si>
  <si>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</si>
  <si>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</si>
  <si>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</si>
  <si>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</si>
  <si>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</si>
  <si>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</si>
  <si>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</si>
  <si>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</si>
  <si>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</si>
  <si>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</si>
  <si>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</si>
  <si>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</si>
  <si>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</si>
  <si>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</si>
  <si>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</si>
  <si>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</si>
  <si>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</si>
  <si>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</si>
  <si>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</si>
  <si>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</si>
  <si>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</si>
  <si>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</si>
  <si>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</si>
  <si>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</si>
  <si>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</si>
  <si>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</si>
  <si>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</si>
  <si>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</si>
  <si>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</si>
  <si>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</si>
  <si>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</si>
  <si>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</si>
  <si>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</si>
  <si>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</si>
  <si>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</si>
  <si>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</si>
  <si>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</si>
  <si>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</si>
  <si>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</si>
  <si>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</si>
  <si>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</si>
  <si>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</si>
  <si>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</si>
  <si>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</si>
  <si>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</si>
  <si>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</si>
  <si>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</si>
  <si>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</si>
  <si>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</si>
  <si>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</si>
  <si>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</si>
  <si>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</si>
  <si>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</si>
  <si>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</si>
  <si>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</si>
  <si>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</si>
  <si>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</si>
  <si>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</si>
  <si>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</si>
  <si>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</si>
  <si>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</si>
  <si>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</si>
  <si>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</si>
  <si>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</si>
  <si>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</si>
  <si>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</si>
  <si>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</si>
  <si>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</si>
  <si>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</si>
  <si>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</si>
  <si>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</si>
  <si>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</si>
  <si>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</si>
  <si>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</si>
  <si>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</si>
  <si>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</si>
  <si>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</si>
  <si>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</si>
  <si>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</si>
  <si>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</si>
  <si>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</si>
  <si>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</si>
  <si>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</si>
  <si>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</si>
  <si>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</si>
  <si>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</si>
  <si>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</si>
  <si>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</si>
  <si>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</si>
  <si>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</si>
  <si>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</si>
  <si>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</si>
  <si>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</si>
  <si>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</si>
  <si>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</si>
  <si>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</si>
  <si>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</si>
  <si>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</si>
  <si>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</si>
  <si>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</si>
  <si>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</si>
  <si>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</si>
  <si>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</si>
  <si>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</si>
  <si>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</si>
  <si>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</si>
  <si>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</si>
  <si>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</si>
  <si>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</si>
  <si>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</si>
  <si>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</si>
  <si>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</si>
  <si>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</si>
  <si>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</si>
  <si>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</si>
  <si>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</si>
  <si>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</si>
  <si>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</si>
  <si>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</si>
  <si>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</si>
  <si>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</si>
  <si>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</si>
  <si>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</si>
  <si>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</si>
  <si>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</si>
  <si>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</si>
  <si>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</si>
  <si>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</si>
  <si>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</si>
  <si>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</si>
  <si>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</si>
  <si>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</si>
  <si>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</si>
  <si>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</si>
  <si>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</si>
  <si>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</si>
  <si>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</si>
  <si>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</si>
  <si>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</si>
  <si>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</si>
  <si>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</si>
  <si>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</si>
  <si>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</si>
  <si>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</si>
  <si>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</si>
  <si>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</si>
  <si>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</si>
  <si>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</si>
  <si>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</si>
  <si>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</si>
  <si>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</si>
  <si>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</si>
  <si>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</si>
  <si>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</si>
  <si>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</si>
  <si>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</si>
  <si>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</si>
  <si>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</si>
  <si>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</si>
  <si>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</si>
  <si>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</si>
  <si>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</si>
  <si>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</si>
  <si>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</si>
  <si>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</si>
  <si>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</si>
  <si>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</si>
  <si>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</si>
  <si>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</si>
  <si>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</si>
  <si>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</si>
  <si>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</si>
  <si>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</si>
  <si>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</si>
  <si>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</si>
  <si>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</si>
  <si>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</si>
  <si>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</si>
  <si>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</si>
  <si>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</si>
  <si>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</si>
  <si>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</si>
  <si>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</si>
  <si>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</si>
  <si>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</si>
  <si>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</si>
  <si>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</si>
  <si>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</si>
  <si>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</si>
  <si>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</si>
  <si>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</si>
  <si>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</si>
  <si>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</si>
  <si>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</si>
  <si>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</si>
  <si>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</si>
  <si>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</si>
  <si>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</si>
  <si>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</si>
  <si>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</si>
  <si>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</si>
  <si>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</si>
  <si>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</si>
  <si>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</si>
  <si>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</si>
  <si>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</si>
  <si>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</si>
  <si>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</si>
  <si>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</si>
  <si>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</si>
  <si>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</si>
  <si>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</si>
  <si>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</si>
  <si>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</si>
  <si>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</si>
  <si>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</si>
  <si>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</si>
  <si>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</si>
  <si>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</si>
  <si>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</si>
  <si>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</si>
  <si>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</si>
  <si>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</si>
  <si>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</si>
  <si>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</si>
  <si>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</si>
  <si>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</si>
  <si>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</si>
  <si>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</si>
  <si>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</si>
  <si>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</si>
  <si>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</si>
  <si>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</si>
  <si>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</si>
  <si>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</si>
  <si>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</si>
  <si>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</si>
  <si>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</si>
  <si>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</si>
  <si>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</si>
  <si>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</si>
  <si>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</si>
  <si>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</si>
  <si>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</si>
  <si>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</si>
  <si>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</si>
  <si>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</si>
  <si>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</si>
  <si>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</si>
  <si>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</si>
  <si>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</si>
  <si>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</si>
  <si>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</si>
  <si>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</si>
  <si>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</si>
  <si>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</si>
  <si>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</si>
  <si>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</si>
  <si>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</si>
  <si>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</si>
  <si>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</si>
  <si>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</si>
  <si>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</si>
  <si>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</si>
  <si>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</si>
  <si>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</si>
  <si>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</si>
  <si>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</si>
  <si>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</si>
  <si>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</si>
  <si>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</si>
  <si>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</si>
  <si>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</si>
  <si>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</si>
  <si>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</si>
  <si>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</si>
  <si>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</si>
  <si>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</si>
  <si>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</si>
  <si>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</si>
  <si>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</si>
  <si>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</si>
  <si>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</si>
  <si>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</si>
  <si>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</si>
  <si>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</si>
  <si>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</si>
  <si>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</si>
  <si>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</si>
  <si>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</si>
  <si>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</si>
  <si>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</si>
  <si>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</si>
  <si>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</si>
  <si>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</si>
  <si>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</si>
  <si>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</si>
  <si>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</si>
  <si>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</si>
  <si>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</si>
  <si>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</si>
  <si>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</si>
  <si>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</si>
  <si>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</si>
  <si>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</si>
  <si>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</si>
  <si>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</si>
  <si>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</si>
  <si>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</si>
  <si>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</si>
  <si>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</si>
  <si>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</si>
  <si>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</si>
  <si>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</si>
  <si>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</si>
  <si>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</si>
  <si>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</si>
  <si>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</si>
  <si>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</si>
  <si>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</si>
  <si>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</si>
  <si>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</si>
  <si>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</si>
  <si>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</si>
  <si>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</si>
  <si>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</si>
  <si>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</si>
  <si>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</si>
  <si>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</si>
  <si>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</si>
  <si>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</si>
  <si>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</si>
  <si>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</si>
  <si>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</si>
  <si>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</si>
  <si>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</si>
  <si>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</si>
  <si>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</si>
  <si>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</si>
  <si>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</si>
  <si>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</si>
  <si>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</si>
  <si>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</si>
  <si>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</si>
  <si>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</si>
  <si>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</si>
  <si>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</si>
  <si>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</si>
  <si>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</si>
  <si>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</si>
  <si>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</si>
  <si>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</si>
  <si>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</si>
  <si>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</si>
  <si>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</si>
  <si>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</si>
  <si>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</si>
  <si>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</si>
  <si>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</si>
  <si>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</si>
  <si>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</si>
  <si>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</si>
  <si>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</si>
  <si>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</si>
  <si>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</si>
  <si>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</si>
  <si>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</si>
  <si>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</si>
  <si>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</si>
  <si>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</si>
  <si>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</si>
  <si>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</si>
  <si>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</si>
  <si>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</si>
  <si>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</si>
  <si>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</si>
  <si>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</si>
  <si>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</si>
  <si>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</si>
  <si>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</si>
  <si>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</si>
  <si>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</si>
  <si>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</si>
  <si>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</si>
  <si>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</si>
  <si>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</si>
  <si>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</si>
  <si>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</si>
  <si>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</si>
  <si>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</si>
  <si>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</si>
  <si>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</si>
  <si>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</si>
  <si>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</si>
  <si>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</si>
  <si>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</si>
  <si>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</si>
  <si>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</si>
  <si>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</si>
  <si>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</si>
  <si>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</si>
  <si>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</si>
  <si>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</si>
  <si>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</si>
  <si>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</si>
  <si>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</si>
  <si>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</si>
  <si>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</si>
  <si>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</si>
  <si>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</si>
  <si>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</si>
  <si>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</si>
  <si>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</si>
  <si>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</si>
  <si>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</si>
  <si>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</si>
  <si>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</si>
  <si>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</si>
  <si>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</si>
  <si>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</si>
  <si>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</si>
  <si>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</si>
  <si>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</si>
  <si>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</si>
  <si>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</si>
  <si>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</si>
  <si>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</si>
  <si>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</si>
  <si>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</si>
  <si>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</si>
  <si>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</si>
  <si>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</si>
  <si>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</si>
  <si>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</si>
  <si>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</si>
  <si>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</si>
  <si>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</si>
  <si>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</si>
  <si>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</si>
  <si>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</si>
  <si>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</si>
  <si>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</si>
  <si>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</si>
  <si>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</si>
  <si>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</si>
  <si>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</si>
  <si>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</si>
  <si>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</si>
  <si>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</si>
  <si>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</si>
  <si>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</si>
  <si>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</si>
  <si>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</si>
  <si>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</si>
  <si>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</si>
  <si>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</si>
  <si>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</si>
  <si>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</si>
  <si>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</si>
  <si>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</si>
  <si>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</si>
  <si>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</si>
  <si>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</si>
  <si>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</si>
  <si>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</si>
  <si>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</si>
  <si>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</si>
  <si>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</si>
  <si>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</si>
  <si>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</si>
  <si>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</si>
  <si>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</si>
  <si>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</si>
  <si>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</si>
  <si>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</si>
  <si>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</si>
  <si>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</si>
  <si>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</si>
  <si>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</si>
  <si>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</si>
  <si>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</si>
  <si>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</si>
  <si>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</si>
  <si>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</si>
  <si>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</si>
  <si>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</si>
  <si>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</si>
  <si>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</si>
  <si>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</si>
  <si>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</si>
  <si>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</si>
  <si>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</si>
  <si>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</si>
  <si>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</si>
  <si>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</si>
  <si>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</si>
  <si>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</si>
  <si>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</si>
  <si>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</si>
  <si>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</si>
  <si>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</si>
  <si>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</si>
  <si>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</si>
  <si>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</si>
  <si>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</si>
  <si>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</si>
  <si>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</si>
  <si>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</si>
  <si>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</si>
  <si>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</si>
  <si>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</si>
  <si>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</si>
  <si>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</si>
  <si>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</si>
  <si>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</si>
  <si>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</si>
  <si>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</si>
  <si>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</si>
  <si>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</si>
  <si>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</si>
  <si>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</si>
  <si>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</si>
  <si>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</si>
  <si>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</si>
  <si>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</si>
  <si>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</si>
  <si>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</si>
  <si>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</si>
  <si>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</si>
  <si>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</si>
  <si>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</si>
  <si>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</si>
  <si>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</si>
  <si>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</si>
  <si>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</si>
  <si>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</si>
  <si>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</si>
  <si>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</si>
  <si>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</si>
  <si>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</si>
  <si>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</si>
  <si>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</si>
  <si>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</si>
  <si>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</si>
  <si>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</si>
  <si>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</si>
  <si>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</si>
  <si>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</si>
  <si>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</si>
  <si>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</si>
  <si>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</si>
  <si>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</si>
  <si>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</si>
  <si>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</si>
  <si>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</si>
  <si>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</si>
  <si>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</si>
  <si>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</si>
  <si>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</si>
  <si>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</si>
  <si>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</si>
  <si>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</si>
  <si>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</si>
  <si>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</si>
  <si>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</si>
  <si>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</si>
  <si>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</si>
  <si>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</si>
  <si>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</si>
  <si>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</si>
  <si>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</si>
  <si>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</si>
  <si>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</si>
  <si>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</si>
  <si>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</si>
  <si>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</si>
  <si>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</si>
  <si>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</si>
  <si>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</si>
  <si>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</si>
  <si>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</si>
  <si>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</si>
  <si>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</si>
  <si>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</si>
  <si>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</si>
  <si>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</si>
  <si>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</si>
  <si>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</si>
  <si>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</si>
  <si>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</si>
  <si>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</si>
  <si>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</si>
  <si>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</si>
  <si>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</si>
  <si>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</si>
  <si>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</si>
  <si>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</si>
  <si>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</si>
  <si>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</si>
  <si>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</si>
  <si>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</si>
  <si>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</si>
  <si>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</si>
  <si>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</si>
  <si>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</si>
  <si>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</si>
  <si>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</si>
  <si>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</si>
  <si>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</si>
  <si>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</si>
  <si>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</si>
  <si>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</si>
  <si>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</si>
  <si>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</si>
  <si>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</si>
  <si>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</si>
  <si>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</si>
  <si>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</si>
  <si>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</si>
  <si>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</si>
  <si>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</si>
  <si>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</si>
  <si>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</si>
  <si>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</si>
  <si>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</si>
  <si>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</si>
  <si>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</si>
  <si>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</si>
  <si>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</si>
  <si>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</si>
  <si>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</si>
  <si>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</si>
  <si>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</si>
  <si>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</si>
  <si>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</si>
  <si>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</si>
  <si>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</si>
  <si>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</si>
  <si>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</si>
  <si>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</si>
  <si>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</si>
  <si>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</si>
  <si>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</si>
  <si>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</si>
  <si>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</si>
  <si>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</si>
  <si>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</si>
  <si>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</si>
  <si>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</si>
  <si>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</si>
  <si>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</si>
  <si>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</si>
  <si>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</si>
  <si>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</si>
  <si>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</si>
  <si>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</si>
  <si>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</si>
  <si>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</si>
  <si>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</si>
  <si>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</si>
  <si>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</si>
  <si>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</si>
  <si>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</si>
  <si>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</si>
  <si>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</si>
  <si>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</si>
  <si>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</si>
  <si>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</si>
  <si>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</si>
  <si>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</si>
  <si>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</si>
  <si>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</si>
  <si>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</si>
  <si>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</si>
  <si>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</si>
  <si>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</si>
  <si>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</si>
  <si>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</si>
  <si>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</si>
  <si>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</si>
  <si>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</si>
  <si>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</si>
  <si>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</si>
  <si>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</si>
  <si>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</si>
  <si>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</si>
  <si>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</si>
  <si>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</si>
  <si>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</si>
  <si>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</si>
  <si>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</si>
  <si>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</si>
  <si>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</si>
  <si>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</si>
  <si>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</si>
  <si>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</si>
  <si>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</si>
  <si>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</si>
  <si>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</si>
  <si>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</si>
  <si>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</si>
  <si>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</si>
  <si>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</si>
  <si>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</si>
  <si>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</si>
  <si>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</si>
  <si>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</si>
  <si>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</si>
  <si>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</si>
  <si>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</si>
  <si>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</si>
  <si>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</si>
  <si>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</si>
  <si>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</si>
  <si>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</si>
  <si>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</si>
  <si>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</si>
  <si>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</si>
  <si>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</si>
  <si>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</si>
  <si>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</si>
  <si>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</si>
  <si>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</si>
  <si>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</si>
  <si>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</si>
  <si>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</si>
  <si>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</si>
  <si>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</si>
  <si>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</si>
  <si>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</si>
  <si>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</si>
  <si>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</si>
  <si>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</si>
  <si>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</si>
  <si>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</si>
  <si>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</si>
  <si>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</si>
  <si>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</si>
  <si>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</si>
  <si>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</si>
  <si>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</si>
  <si>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</si>
  <si>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</si>
  <si>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</si>
  <si>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</si>
  <si>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</si>
  <si>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</si>
  <si>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</si>
  <si>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</si>
  <si>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</si>
  <si>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</si>
  <si>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</si>
  <si>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</si>
  <si>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</si>
  <si>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</si>
  <si>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</si>
  <si>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</si>
  <si>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</si>
  <si>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</si>
  <si>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</si>
  <si>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</si>
  <si>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</si>
  <si>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</si>
  <si>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</si>
  <si>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</si>
  <si>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</si>
  <si>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</si>
  <si>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</si>
  <si>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</si>
  <si>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</si>
  <si>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</si>
  <si>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</si>
  <si>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</si>
  <si>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</si>
  <si>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</si>
  <si>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</si>
  <si>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</si>
  <si>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</si>
  <si>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</si>
  <si>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</si>
  <si>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</si>
  <si>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</si>
  <si>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</si>
  <si>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</si>
  <si>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</si>
  <si>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</si>
  <si>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</si>
  <si>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</si>
  <si>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</si>
  <si>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</si>
  <si>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</si>
  <si>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</si>
  <si>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</si>
  <si>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</si>
  <si>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</si>
  <si>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</si>
  <si>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</si>
  <si>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</si>
  <si>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</si>
  <si>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</si>
  <si>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</si>
  <si>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</si>
  <si>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</si>
  <si>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</si>
  <si>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</si>
  <si>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</si>
  <si>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</si>
  <si>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</si>
  <si>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</si>
  <si>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</si>
  <si>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</si>
  <si>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</si>
  <si>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</si>
  <si>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</si>
  <si>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</si>
  <si>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</si>
  <si>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</si>
  <si>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</si>
  <si>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</si>
  <si>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</si>
  <si>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</si>
  <si>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</si>
  <si>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</si>
  <si>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</si>
  <si>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</si>
  <si>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</si>
  <si>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</si>
  <si>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</si>
  <si>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</si>
  <si>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</si>
  <si>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</si>
  <si>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</si>
  <si>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</si>
  <si>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</si>
  <si>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</si>
  <si>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</si>
  <si>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</si>
  <si>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</si>
  <si>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</si>
  <si>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</si>
  <si>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</si>
  <si>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</si>
  <si>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</si>
  <si>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</si>
  <si>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</si>
  <si>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</si>
  <si>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</si>
  <si>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</si>
  <si>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</si>
  <si>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</si>
  <si>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</si>
  <si>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</si>
  <si>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</si>
  <si>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</si>
  <si>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</si>
  <si>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</si>
  <si>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</si>
  <si>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</si>
  <si>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</si>
  <si>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</si>
  <si>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</si>
  <si>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</si>
  <si>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</si>
  <si>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</si>
  <si>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</si>
  <si>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</si>
  <si>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</si>
  <si>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</si>
  <si>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</si>
  <si>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</si>
  <si>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</si>
  <si>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</si>
  <si>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</si>
  <si>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</si>
  <si>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</si>
  <si>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</si>
  <si>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</si>
  <si>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</si>
  <si>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</si>
  <si>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</si>
  <si>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</si>
  <si>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</si>
  <si>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</si>
  <si>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</si>
  <si>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</si>
  <si>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</si>
  <si>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</si>
  <si>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</si>
  <si>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</si>
  <si>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</si>
  <si>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</si>
  <si>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</si>
  <si>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</si>
  <si>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</si>
  <si>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</si>
  <si>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</si>
  <si>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</si>
  <si>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</si>
  <si>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</si>
  <si>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</si>
  <si>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</si>
  <si>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</si>
  <si>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</si>
  <si>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</si>
  <si>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</si>
  <si>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</si>
  <si>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</si>
  <si>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</si>
  <si>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</si>
  <si>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</si>
  <si>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</si>
  <si>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</si>
  <si>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</si>
  <si>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</si>
  <si>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</si>
  <si>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</si>
  <si>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</si>
  <si>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</si>
  <si>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</si>
  <si>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</si>
  <si>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</si>
  <si>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</si>
  <si>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</si>
  <si>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</si>
  <si>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</si>
  <si>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</si>
  <si>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</si>
  <si>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</si>
  <si>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</si>
  <si>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</si>
  <si>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</si>
  <si>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</si>
  <si>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</si>
  <si>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</si>
  <si>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</si>
  <si>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</si>
  <si>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</si>
  <si>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</si>
  <si>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</si>
  <si>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</si>
  <si>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</si>
  <si>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</si>
  <si>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</si>
  <si>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</si>
  <si>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</si>
  <si>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</si>
  <si>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</si>
  <si>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</si>
  <si>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</si>
  <si>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</si>
  <si>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</si>
  <si>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</si>
  <si>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</si>
  <si>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</si>
  <si>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</si>
  <si>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</si>
  <si>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</si>
  <si>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</si>
  <si>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</si>
  <si>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</si>
  <si>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</si>
  <si>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</si>
  <si>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</si>
  <si>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</si>
  <si>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</si>
  <si>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</si>
  <si>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</si>
  <si>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</si>
  <si>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</si>
  <si>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</si>
  <si>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</si>
  <si>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</si>
  <si>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</si>
  <si>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</si>
  <si>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</si>
  <si>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</si>
  <si>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</si>
  <si>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</si>
  <si>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</si>
  <si>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</si>
  <si>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</si>
  <si>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</si>
  <si>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</si>
  <si>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</si>
  <si>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</si>
  <si>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</si>
  <si>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</si>
  <si>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</si>
  <si>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</si>
  <si>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</si>
  <si>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</si>
  <si>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</si>
  <si>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</si>
  <si>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</si>
  <si>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</si>
  <si>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</si>
  <si>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</si>
  <si>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</si>
  <si>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</si>
  <si>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</si>
  <si>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</si>
  <si>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</si>
  <si>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</si>
  <si>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</si>
  <si>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</si>
  <si>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</si>
  <si>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</si>
  <si>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</si>
  <si>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</si>
  <si>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</si>
  <si>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</si>
  <si>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</si>
  <si>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</si>
  <si>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</si>
  <si>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</si>
  <si>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</si>
  <si>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</si>
  <si>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</si>
  <si>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</si>
  <si>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</si>
  <si>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</si>
  <si>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</si>
  <si>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</si>
  <si>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</si>
  <si>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</si>
  <si>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</si>
  <si>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</si>
  <si>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</si>
  <si>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</si>
  <si>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</si>
  <si>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</si>
  <si>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</si>
  <si>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</si>
  <si>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</si>
  <si>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</si>
  <si>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</si>
  <si>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</si>
  <si>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</si>
  <si>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</si>
  <si>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</si>
  <si>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</si>
  <si>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</si>
  <si>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</si>
  <si>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</si>
  <si>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</si>
  <si>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</si>
  <si>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</si>
  <si>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</si>
  <si>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</si>
  <si>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</si>
  <si>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</si>
  <si>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</si>
  <si>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وغدیر 9813 تا 1114</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</si>
  <si>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</si>
  <si>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</si>
  <si>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</si>
  <si>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</si>
  <si>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</si>
  <si>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</si>
  <si>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</si>
  <si>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</si>
  <si>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</si>
  <si>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</si>
  <si>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</si>
  <si>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</si>
  <si>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</si>
  <si>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</si>
  <si>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</si>
  <si>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</si>
  <si>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</si>
  <si>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</si>
  <si>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</si>
  <si>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</si>
  <si>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10/1/1400</t>
  </si>
  <si>
    <t>سود هر سهم وغدیر 1401</t>
  </si>
  <si>
    <t>سایرین</t>
  </si>
  <si>
    <t>پیش بینی سود هر سهم 1399</t>
  </si>
  <si>
    <t>سود هر سهم وغدیر 1399</t>
  </si>
  <si>
    <t>سود هر سهم 1401</t>
  </si>
  <si>
    <t>14/1/1400</t>
  </si>
  <si>
    <t>ضغدر3000</t>
  </si>
  <si>
    <t>15/1/1400</t>
  </si>
  <si>
    <t>پارس 189 تا 15145</t>
  </si>
  <si>
    <t>17/1/1400</t>
  </si>
  <si>
    <t>18/1/1400</t>
  </si>
  <si>
    <t>طلا</t>
  </si>
  <si>
    <t>پارس 632 تا 14698</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</si>
  <si>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</si>
  <si>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</si>
  <si>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</si>
  <si>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</si>
  <si>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</si>
  <si>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</si>
  <si>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</si>
  <si>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</si>
  <si>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</si>
  <si>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</si>
  <si>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</si>
  <si>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</si>
  <si>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</si>
  <si>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</si>
  <si>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</si>
  <si>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</si>
  <si>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</si>
  <si>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</si>
  <si>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</si>
  <si>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</si>
  <si>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</si>
  <si>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</si>
  <si>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</si>
  <si>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</si>
  <si>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</si>
  <si>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</si>
  <si>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</si>
  <si>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</si>
  <si>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</si>
  <si>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</si>
  <si>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</si>
  <si>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</si>
  <si>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</si>
  <si>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</si>
  <si>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</si>
  <si>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</si>
  <si>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</si>
  <si>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</si>
  <si>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</si>
  <si>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</si>
  <si>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</si>
  <si>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</si>
  <si>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</si>
  <si>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</si>
  <si>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</si>
  <si>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</si>
  <si>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</si>
  <si>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</si>
  <si>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</si>
  <si>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</si>
  <si>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</si>
  <si>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</si>
  <si>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</si>
  <si>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</si>
  <si>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</si>
  <si>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</si>
  <si>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</si>
  <si>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</si>
  <si>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</si>
  <si>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</si>
  <si>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</si>
  <si>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</si>
  <si>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</si>
  <si>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</si>
  <si>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</si>
  <si>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</si>
  <si>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</si>
  <si>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</si>
  <si>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</si>
  <si>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</si>
  <si>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</si>
  <si>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</si>
  <si>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</si>
  <si>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</si>
  <si>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</si>
  <si>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</si>
  <si>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</si>
  <si>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</si>
  <si>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</si>
  <si>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</si>
  <si>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</si>
  <si>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</si>
  <si>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</si>
  <si>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</si>
  <si>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</si>
  <si>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</si>
  <si>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</si>
  <si>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</si>
  <si>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</si>
  <si>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</si>
  <si>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</si>
  <si>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</si>
  <si>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</si>
  <si>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</si>
  <si>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</si>
  <si>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</si>
  <si>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</si>
  <si>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</si>
  <si>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</si>
  <si>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</si>
  <si>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</si>
  <si>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</si>
  <si>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</si>
  <si>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</si>
  <si>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</si>
  <si>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</si>
  <si>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</si>
  <si>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</si>
  <si>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</si>
  <si>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</si>
  <si>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</si>
  <si>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</si>
  <si>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</si>
  <si>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</si>
  <si>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</si>
  <si>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</si>
  <si>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</si>
  <si>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</si>
  <si>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</si>
  <si>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</si>
  <si>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</si>
  <si>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</si>
  <si>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</si>
  <si>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</si>
  <si>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</si>
  <si>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</si>
  <si>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</si>
  <si>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</si>
  <si>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</si>
  <si>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</si>
  <si>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</si>
  <si>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</si>
  <si>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</si>
  <si>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</si>
  <si>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</si>
  <si>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</si>
  <si>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</si>
  <si>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</si>
  <si>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</si>
  <si>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</si>
  <si>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</si>
  <si>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</si>
  <si>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</si>
  <si>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</si>
  <si>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</si>
  <si>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</si>
  <si>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</si>
  <si>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</si>
  <si>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</si>
  <si>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</si>
  <si>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</si>
  <si>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</si>
  <si>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</si>
  <si>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</si>
  <si>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</si>
  <si>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</si>
  <si>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</si>
  <si>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</si>
  <si>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</si>
  <si>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</si>
  <si>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</si>
  <si>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</si>
  <si>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</si>
  <si>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</si>
  <si>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</si>
  <si>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</si>
  <si>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</si>
  <si>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</si>
  <si>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</si>
  <si>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</si>
  <si>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</si>
  <si>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</si>
  <si>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</si>
  <si>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</si>
  <si>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</si>
  <si>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</si>
  <si>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</si>
  <si>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</si>
  <si>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</si>
  <si>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</si>
  <si>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</si>
  <si>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</si>
  <si>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</si>
  <si>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</si>
  <si>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</si>
  <si>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</si>
  <si>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</si>
  <si>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</si>
  <si>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</si>
  <si>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</si>
  <si>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</si>
  <si>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</si>
  <si>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</si>
  <si>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</si>
  <si>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</si>
  <si>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</si>
  <si>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</si>
  <si>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</si>
  <si>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</si>
  <si>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</si>
  <si>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</si>
  <si>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</si>
  <si>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</si>
  <si>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</si>
  <si>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</si>
  <si>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</si>
  <si>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</si>
  <si>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</si>
  <si>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</si>
  <si>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</si>
  <si>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</si>
  <si>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</si>
  <si>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</si>
  <si>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</si>
  <si>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</si>
  <si>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</si>
  <si>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</si>
  <si>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</si>
  <si>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</si>
  <si>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</si>
  <si>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</si>
  <si>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</si>
  <si>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</si>
  <si>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</si>
  <si>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</si>
  <si>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</si>
  <si>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</si>
  <si>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</si>
  <si>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</si>
  <si>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</si>
  <si>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</si>
  <si>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</si>
  <si>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</si>
  <si>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</si>
  <si>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</si>
  <si>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</si>
  <si>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</si>
  <si>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</si>
  <si>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</si>
  <si>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</si>
  <si>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</si>
  <si>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</si>
  <si>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</si>
  <si>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</si>
  <si>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</si>
  <si>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</si>
  <si>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</si>
  <si>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</si>
  <si>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</si>
  <si>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</si>
  <si>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</si>
  <si>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</si>
  <si>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</si>
  <si>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</si>
  <si>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</si>
  <si>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</si>
  <si>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</si>
  <si>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</si>
  <si>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</si>
  <si>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</si>
  <si>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</si>
  <si>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</si>
  <si>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</si>
  <si>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</si>
  <si>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</si>
  <si>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</si>
  <si>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</si>
  <si>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</si>
  <si>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</si>
  <si>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</si>
  <si>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</si>
  <si>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</si>
  <si>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</si>
  <si>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</si>
  <si>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</si>
  <si>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</si>
  <si>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</si>
  <si>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</si>
  <si>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</si>
  <si>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</si>
  <si>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</si>
  <si>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</si>
  <si>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</si>
  <si>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</si>
  <si>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</si>
  <si>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</si>
  <si>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</si>
  <si>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</si>
  <si>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</si>
  <si>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</si>
  <si>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</si>
  <si>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</si>
  <si>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</si>
  <si>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</si>
  <si>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</si>
  <si>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</si>
  <si>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</si>
  <si>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</si>
  <si>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</si>
  <si>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</si>
  <si>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</si>
  <si>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</si>
  <si>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</si>
  <si>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</si>
  <si>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</si>
  <si>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</si>
  <si>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</si>
  <si>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</si>
  <si>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</si>
  <si>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</si>
  <si>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</si>
  <si>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</si>
  <si>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</si>
  <si>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</si>
  <si>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</si>
  <si>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</si>
  <si>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</si>
  <si>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</si>
  <si>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</si>
  <si>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</si>
  <si>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</si>
  <si>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</si>
  <si>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</si>
  <si>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</si>
  <si>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</si>
  <si>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</si>
  <si>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</si>
  <si>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</si>
  <si>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</si>
  <si>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</si>
  <si>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</si>
  <si>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</si>
  <si>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</si>
  <si>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</si>
  <si>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</si>
  <si>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</si>
  <si>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</si>
  <si>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</si>
  <si>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</si>
  <si>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</si>
  <si>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</si>
  <si>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</si>
  <si>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</si>
  <si>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</si>
  <si>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</si>
  <si>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</si>
  <si>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</si>
  <si>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</si>
  <si>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</si>
  <si>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</si>
  <si>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</si>
  <si>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</si>
  <si>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</si>
  <si>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</si>
  <si>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</si>
  <si>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</si>
  <si>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</si>
  <si>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</si>
  <si>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</si>
  <si>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</si>
  <si>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</si>
  <si>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</si>
  <si>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</si>
  <si>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</si>
  <si>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</si>
  <si>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</si>
  <si>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</si>
  <si>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</si>
  <si>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</si>
  <si>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</si>
  <si>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</si>
  <si>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</si>
  <si>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</si>
  <si>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</si>
  <si>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</si>
  <si>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</si>
  <si>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</si>
  <si>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</si>
  <si>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</si>
  <si>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</si>
  <si>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</si>
  <si>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</si>
  <si>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</si>
  <si>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</si>
  <si>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</si>
  <si>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</si>
  <si>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</si>
  <si>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</si>
  <si>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</si>
  <si>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</si>
  <si>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</si>
  <si>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</si>
  <si>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</si>
  <si>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</si>
  <si>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</si>
  <si>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</si>
  <si>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</si>
  <si>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</si>
  <si>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</si>
  <si>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</si>
  <si>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</si>
  <si>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</si>
  <si>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</si>
  <si>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</si>
  <si>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</si>
  <si>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</si>
  <si>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</si>
  <si>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</si>
  <si>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</si>
  <si>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</si>
  <si>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</si>
  <si>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</si>
  <si>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</si>
  <si>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</si>
  <si>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</si>
  <si>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</si>
  <si>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</si>
  <si>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</si>
  <si>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</si>
  <si>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</si>
  <si>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</si>
  <si>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</si>
  <si>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</si>
  <si>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</si>
  <si>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</si>
  <si>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</si>
  <si>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</si>
  <si>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</si>
  <si>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</si>
  <si>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</si>
  <si>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</si>
  <si>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</si>
  <si>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</si>
  <si>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</si>
  <si>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</si>
  <si>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</si>
  <si>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</si>
  <si>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</si>
  <si>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</si>
  <si>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</si>
  <si>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</si>
  <si>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</si>
  <si>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</si>
  <si>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</si>
  <si>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</si>
  <si>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</si>
  <si>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</si>
  <si>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</si>
  <si>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</si>
  <si>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</si>
  <si>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</si>
  <si>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</si>
  <si>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</si>
  <si>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</si>
  <si>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</si>
  <si>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</si>
  <si>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</si>
  <si>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</si>
  <si>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</si>
  <si>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</si>
  <si>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</si>
  <si>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</si>
  <si>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</si>
  <si>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</si>
  <si>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</si>
  <si>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</si>
  <si>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</si>
  <si>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</si>
  <si>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</si>
  <si>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</si>
  <si>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</si>
  <si>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</si>
  <si>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</si>
  <si>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</si>
  <si>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</si>
  <si>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</si>
  <si>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</si>
  <si>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</si>
  <si>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</si>
  <si>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</si>
  <si>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</si>
  <si>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</si>
  <si>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</si>
  <si>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</si>
  <si>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</si>
  <si>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</si>
  <si>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</si>
  <si>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</si>
  <si>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</si>
  <si>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</si>
  <si>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</si>
  <si>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</si>
  <si>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</si>
  <si>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</si>
  <si>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</si>
  <si>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</si>
  <si>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</si>
  <si>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</si>
  <si>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</si>
  <si>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</si>
  <si>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</si>
  <si>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</si>
  <si>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</si>
  <si>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</si>
  <si>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</si>
  <si>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</si>
  <si>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</si>
  <si>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</si>
  <si>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</si>
  <si>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</si>
  <si>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</si>
  <si>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</si>
  <si>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</si>
  <si>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</si>
  <si>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</si>
  <si>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</si>
  <si>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</si>
  <si>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</si>
  <si>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</si>
  <si>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</si>
  <si>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</si>
  <si>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</si>
  <si>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</si>
  <si>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</si>
  <si>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</si>
  <si>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</si>
  <si>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</si>
  <si>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</si>
  <si>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</si>
  <si>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</si>
  <si>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</si>
  <si>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</si>
  <si>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</si>
  <si>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</si>
  <si>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</si>
  <si>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</si>
  <si>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</si>
  <si>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</si>
  <si>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</si>
  <si>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</si>
  <si>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</si>
  <si>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</si>
  <si>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</si>
  <si>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</si>
  <si>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</si>
  <si>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</si>
  <si>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</si>
  <si>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</si>
  <si>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</si>
  <si>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</si>
  <si>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</si>
  <si>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</si>
  <si>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</si>
  <si>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</si>
  <si>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</si>
  <si>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</si>
  <si>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</si>
  <si>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</si>
  <si>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</si>
  <si>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</si>
  <si>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</si>
  <si>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</si>
  <si>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</si>
  <si>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</si>
  <si>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</si>
  <si>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</si>
  <si>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</si>
  <si>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</si>
  <si>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پارس 413 تا 14292</t>
  </si>
  <si>
    <t>اعتبار مریم</t>
  </si>
  <si>
    <t>ضغدر3000 26000 تا 490</t>
  </si>
  <si>
    <t>30/1/1400</t>
  </si>
  <si>
    <t>پارسان 255 تا 1973</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</si>
  <si>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</si>
  <si>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</si>
  <si>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</si>
  <si>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</si>
  <si>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</si>
  <si>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</si>
  <si>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</si>
  <si>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</si>
  <si>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</si>
  <si>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پارسان 20958 تا 1955</t>
  </si>
  <si>
    <t>پارسان 10192 تا 1955</t>
  </si>
  <si>
    <t>ضرر تعداد وغدیر اعتبار 200 میلیون تومنی مهدی تا 30/1/1400</t>
  </si>
  <si>
    <t>1/2/1400</t>
  </si>
  <si>
    <t>پارس 4 تا 14341</t>
  </si>
  <si>
    <t>ضغدر3000 10000 تا 390</t>
  </si>
  <si>
    <t>دارایی بایت تصفیه 10000 تا ضغدر3000 (سود این پول تا 26/3/1400 برای علی هست)</t>
  </si>
  <si>
    <t>پارس 320 تا 14283</t>
  </si>
  <si>
    <t>پارسان 1534 تا 1898</t>
  </si>
  <si>
    <t>وغدیر 5185 تا 1017</t>
  </si>
  <si>
    <t>جبران شده تا 1/2/1400</t>
  </si>
  <si>
    <t>4/2/1400</t>
  </si>
  <si>
    <t>وغدیر 5969 تا 990</t>
  </si>
  <si>
    <t>5/2/1400</t>
  </si>
  <si>
    <t>وغدیر 6038 تا 966</t>
  </si>
  <si>
    <t>6/2/1400</t>
  </si>
  <si>
    <t>وغدیر 12133 تا 993</t>
  </si>
  <si>
    <t>7/2/1400</t>
  </si>
  <si>
    <t>8/2/1400</t>
  </si>
  <si>
    <t>وغدیر 48358 تا 1028</t>
  </si>
  <si>
    <t>پارسان 6676 تا 1862</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</si>
  <si>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</si>
  <si>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</si>
  <si>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</si>
  <si>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</si>
  <si>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</si>
  <si>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</si>
  <si>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</si>
  <si>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ضغدر3001</t>
  </si>
  <si>
    <t>ضغدر3000 5000 تا 360</t>
  </si>
  <si>
    <t>دارایی بایت تصفیه 5000 تا ضغدر3000 (سود این پول تا 26/2/1400 برای علی هست)</t>
  </si>
  <si>
    <t>طلب علی 1000 تا وغدیر</t>
  </si>
  <si>
    <t>m16705934-53752848**</t>
  </si>
  <si>
    <t>اعتبار تقریبی 1 سال دست علی</t>
  </si>
  <si>
    <t>18/2/1400</t>
  </si>
  <si>
    <t>19/2/1400</t>
  </si>
  <si>
    <t>اعتبار</t>
  </si>
  <si>
    <t>تاریخ سرسید</t>
  </si>
  <si>
    <t>آنتهای آبان</t>
  </si>
  <si>
    <t>انتهای اردیبهشت</t>
  </si>
  <si>
    <t>انتهای شهریور</t>
  </si>
  <si>
    <t>ضغدر3000 158000 تا 300</t>
  </si>
  <si>
    <t>وغدیر 125306 تا 1179.1</t>
  </si>
  <si>
    <t>دارایی بابت تصفیه 60000 تا ضغدر3000 (سود این پول تا 26/3/98 برای علی هست)</t>
  </si>
  <si>
    <t>طلب علی 98000 تا ضغدر3000</t>
  </si>
  <si>
    <t>موجودی تقریبی</t>
  </si>
  <si>
    <t>20/2/1400</t>
  </si>
  <si>
    <t>حساب ایلیا</t>
  </si>
  <si>
    <t>حساب مهدی</t>
  </si>
  <si>
    <t>9/2/1400</t>
  </si>
  <si>
    <t>10/2/1400</t>
  </si>
  <si>
    <t>13/2/1400</t>
  </si>
  <si>
    <t>14/2/1400</t>
  </si>
  <si>
    <t>وغدیر در حساب ایلیا</t>
  </si>
  <si>
    <t>21/2/1400</t>
  </si>
  <si>
    <t>وغدیر 15063 تا 1009</t>
  </si>
  <si>
    <t>ومهان 28095 تا 1275</t>
  </si>
  <si>
    <t>طلب از مهدی</t>
  </si>
  <si>
    <t>25/2/1400</t>
  </si>
  <si>
    <t>وغدیر 3000 تا 1036</t>
  </si>
  <si>
    <t>26/2/1400</t>
  </si>
  <si>
    <t>وغدیر 6000 تا 1008</t>
  </si>
  <si>
    <t>بدهی علی</t>
  </si>
  <si>
    <t>باید 29000 تا رو نگه دارم</t>
  </si>
  <si>
    <t>27/2/1400</t>
  </si>
  <si>
    <t>وغدیر 10604 تا 975</t>
  </si>
  <si>
    <t>پارسان 16827 تا 1955</t>
  </si>
  <si>
    <t>29/2/1400</t>
  </si>
  <si>
    <t>وغدیر 12579 تا 936</t>
  </si>
  <si>
    <t>فولاژ (از طریق توسعه صنایع و معادن غدیر</t>
  </si>
  <si>
    <t>برداشت اعتبار سارا</t>
  </si>
  <si>
    <t>واریز علی به حساب بورسی سارا</t>
  </si>
  <si>
    <t>تسفیه اعتبار سارا</t>
  </si>
  <si>
    <t>علی واریز به حساب سارا</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</si>
</sst>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rgb="FFFFFF66"/>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0" fontId="0" fillId="41" borderId="1" xfId="0" applyFill="1" applyBorder="1"/>
    <xf numFmtId="164" fontId="16" fillId="41"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16" fillId="5" borderId="1" xfId="0" applyFont="1" applyFill="1" applyBorder="1"/>
    <xf numFmtId="164" fontId="16" fillId="42" borderId="1" xfId="0" applyNumberFormat="1" applyFont="1" applyFill="1" applyBorder="1" applyAlignment="1">
      <alignment horizontal="center"/>
    </xf>
    <xf numFmtId="0" fontId="0" fillId="13" borderId="1"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13" borderId="1" xfId="0" applyFill="1" applyBorder="1" applyAlignment="1">
      <alignment horizontal="center" wrapText="1"/>
    </xf>
  </cellXfs>
  <cellStyles count="4">
    <cellStyle name="Hyperlink" xfId="1" builtinId="8"/>
    <cellStyle name="Normal" xfId="0" builtinId="0"/>
    <cellStyle name="Normal 2" xfId="3"/>
    <cellStyle name="Normal 3"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zoomScale="80" zoomScaleNormal="80" workbookViewId="0">
      <selection activeCell="R9" sqref="R9"/>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4" t="s">
        <v>5752</v>
      </c>
      <c r="B1" s="274" t="s">
        <v>4361</v>
      </c>
      <c r="C1" s="275">
        <v>18835.400000000001</v>
      </c>
      <c r="D1" s="274">
        <v>3000</v>
      </c>
      <c r="E1" s="60" t="s">
        <v>4357</v>
      </c>
      <c r="F1" s="49">
        <v>15183</v>
      </c>
      <c r="G1" s="60">
        <f t="shared" ref="G1:G27" si="0">C1*D1*0.99114/(F1*1.0037158)</f>
        <v>3675.0457776439484</v>
      </c>
      <c r="H1" s="204">
        <f t="shared" ref="H1:H30" si="1">C1/F1</f>
        <v>1.2405585193966937</v>
      </c>
      <c r="I1" s="290">
        <f>$R$5/$R$4</f>
        <v>1.4275862068965517</v>
      </c>
      <c r="J1" s="20">
        <f t="shared" ref="J1:J30" si="2">I1/H1</f>
        <v>1.1507608746992548</v>
      </c>
      <c r="K1" s="97">
        <f t="shared" ref="K1:K27" si="3">(1/J1-1.0256)*100</f>
        <v>-15.660973278975565</v>
      </c>
      <c r="L1" s="20"/>
      <c r="M1" s="20"/>
      <c r="N1" s="20">
        <v>1</v>
      </c>
      <c r="P1" s="94"/>
      <c r="Q1" s="67" t="s">
        <v>5924</v>
      </c>
      <c r="R1" s="317">
        <v>1786</v>
      </c>
      <c r="S1" s="94" t="s">
        <v>5870</v>
      </c>
      <c r="T1" s="94" t="s">
        <v>5871</v>
      </c>
      <c r="U1" s="94"/>
      <c r="V1" s="94"/>
      <c r="W1" s="94"/>
      <c r="X1" s="5" t="s">
        <v>6511</v>
      </c>
      <c r="Y1" s="5" t="s">
        <v>6512</v>
      </c>
      <c r="Z1" s="5" t="s">
        <v>267</v>
      </c>
      <c r="AA1" s="94"/>
      <c r="AB1" s="94"/>
      <c r="AC1" s="94"/>
    </row>
    <row r="2" spans="1:29" ht="21">
      <c r="A2" s="274" t="s">
        <v>5764</v>
      </c>
      <c r="B2" s="274" t="s">
        <v>4361</v>
      </c>
      <c r="C2" s="275">
        <v>21532</v>
      </c>
      <c r="D2" s="274">
        <v>3145</v>
      </c>
      <c r="E2" s="60" t="s">
        <v>4357</v>
      </c>
      <c r="F2" s="49">
        <v>16385.3</v>
      </c>
      <c r="G2" s="60">
        <f t="shared" si="0"/>
        <v>4081.0777289299676</v>
      </c>
      <c r="H2" s="204">
        <f t="shared" si="1"/>
        <v>1.314104715812344</v>
      </c>
      <c r="I2" s="290">
        <f>$R$5/$R$4</f>
        <v>1.4275862068965517</v>
      </c>
      <c r="J2" s="20">
        <f t="shared" si="2"/>
        <v>1.0863565054738096</v>
      </c>
      <c r="K2" s="97">
        <f t="shared" si="3"/>
        <v>-10.509186573531458</v>
      </c>
      <c r="L2" s="20" t="s">
        <v>25</v>
      </c>
      <c r="M2" s="20"/>
      <c r="N2" s="20">
        <f>H2/H1</f>
        <v>1.0592847457542085</v>
      </c>
      <c r="P2" s="94"/>
      <c r="Q2" s="97" t="s">
        <v>4219</v>
      </c>
      <c r="R2" s="284">
        <v>970</v>
      </c>
      <c r="S2" s="94">
        <v>80</v>
      </c>
      <c r="T2" s="112">
        <v>1099</v>
      </c>
      <c r="U2" s="94">
        <f>S2/T2</f>
        <v>7.2793448589626927E-2</v>
      </c>
      <c r="V2" s="94"/>
      <c r="W2" s="94"/>
      <c r="X2" s="5" t="s">
        <v>744</v>
      </c>
      <c r="Y2" s="5" t="s">
        <v>6513</v>
      </c>
      <c r="Z2" s="35">
        <v>50000000</v>
      </c>
      <c r="AA2" s="94"/>
      <c r="AB2" s="94"/>
      <c r="AC2" s="94"/>
    </row>
    <row r="3" spans="1:29" ht="21">
      <c r="A3" s="274" t="s">
        <v>5764</v>
      </c>
      <c r="B3" s="274" t="s">
        <v>4361</v>
      </c>
      <c r="C3" s="275">
        <v>21532</v>
      </c>
      <c r="D3" s="274">
        <v>3490</v>
      </c>
      <c r="E3" s="60" t="s">
        <v>4357</v>
      </c>
      <c r="F3" s="49">
        <v>16237</v>
      </c>
      <c r="G3" s="60">
        <f t="shared" si="0"/>
        <v>4570.1268043870505</v>
      </c>
      <c r="H3" s="204">
        <f t="shared" si="1"/>
        <v>1.3261070394777361</v>
      </c>
      <c r="I3" s="290">
        <f>$R$5/$R$4</f>
        <v>1.4275862068965517</v>
      </c>
      <c r="J3" s="20">
        <f t="shared" si="2"/>
        <v>1.0765241148699289</v>
      </c>
      <c r="K3" s="97">
        <f t="shared" si="3"/>
        <v>-9.6684440945547294</v>
      </c>
      <c r="L3" s="20"/>
      <c r="M3" s="20"/>
      <c r="N3" s="20">
        <f>H3/H2</f>
        <v>1.0091334606146456</v>
      </c>
      <c r="P3" s="113"/>
      <c r="Q3" s="97" t="s">
        <v>5280</v>
      </c>
      <c r="R3" s="299">
        <v>1214</v>
      </c>
      <c r="S3" s="113"/>
      <c r="T3" s="113"/>
      <c r="U3" s="113"/>
      <c r="V3" s="113"/>
      <c r="W3" s="113"/>
      <c r="X3" s="5" t="s">
        <v>1071</v>
      </c>
      <c r="Y3" s="35" t="s">
        <v>6514</v>
      </c>
      <c r="Z3" s="35">
        <v>20000000</v>
      </c>
      <c r="AA3" s="113"/>
      <c r="AB3" s="113"/>
      <c r="AC3" s="113"/>
    </row>
    <row r="4" spans="1:29" ht="21">
      <c r="A4" s="274" t="s">
        <v>5764</v>
      </c>
      <c r="B4" s="274" t="s">
        <v>4361</v>
      </c>
      <c r="C4" s="275">
        <v>21532</v>
      </c>
      <c r="D4" s="274">
        <v>29643</v>
      </c>
      <c r="E4" s="276" t="s">
        <v>4219</v>
      </c>
      <c r="F4" s="278">
        <v>1216</v>
      </c>
      <c r="G4" s="295">
        <f t="shared" si="0"/>
        <v>518319.07647779497</v>
      </c>
      <c r="H4" s="296">
        <f t="shared" si="1"/>
        <v>17.707236842105264</v>
      </c>
      <c r="I4" s="281">
        <f>$R$5/$R$2</f>
        <v>21.340206185567009</v>
      </c>
      <c r="J4" s="97">
        <f t="shared" si="2"/>
        <v>1.2051686198053819</v>
      </c>
      <c r="K4" s="97">
        <f t="shared" si="3"/>
        <v>-19.584059242308673</v>
      </c>
      <c r="L4" s="97"/>
      <c r="M4" s="97"/>
      <c r="N4" s="282">
        <v>1</v>
      </c>
      <c r="P4" s="113"/>
      <c r="Q4" s="97" t="s">
        <v>4357</v>
      </c>
      <c r="R4" s="298">
        <v>14500</v>
      </c>
      <c r="S4" s="113"/>
      <c r="T4" s="113"/>
      <c r="U4" s="113"/>
      <c r="X4" s="5" t="s">
        <v>452</v>
      </c>
      <c r="Y4" s="5" t="s">
        <v>6515</v>
      </c>
      <c r="Z4" s="35">
        <v>180000000</v>
      </c>
      <c r="AA4" s="113"/>
      <c r="AB4" s="113"/>
      <c r="AC4" s="113"/>
    </row>
    <row r="5" spans="1:29" ht="21">
      <c r="A5" s="274" t="s">
        <v>5767</v>
      </c>
      <c r="B5" s="274" t="s">
        <v>4361</v>
      </c>
      <c r="C5" s="275">
        <v>21532</v>
      </c>
      <c r="D5" s="274">
        <v>7188</v>
      </c>
      <c r="E5" s="276" t="s">
        <v>4219</v>
      </c>
      <c r="F5" s="278">
        <v>1198</v>
      </c>
      <c r="G5" s="295">
        <f t="shared" si="0"/>
        <v>127573.32193037112</v>
      </c>
      <c r="H5" s="296">
        <f t="shared" si="1"/>
        <v>17.973288814691152</v>
      </c>
      <c r="I5" s="281">
        <f>$R$5/$R$2</f>
        <v>21.340206185567009</v>
      </c>
      <c r="J5" s="97">
        <f t="shared" si="2"/>
        <v>1.1873289527358943</v>
      </c>
      <c r="K5" s="97">
        <f t="shared" si="3"/>
        <v>-18.337342269321656</v>
      </c>
      <c r="L5" s="97"/>
      <c r="M5" s="97"/>
      <c r="N5" s="282">
        <f>H5/H4</f>
        <v>1.015025041736227</v>
      </c>
      <c r="P5" s="113"/>
      <c r="Q5" s="97" t="s">
        <v>4361</v>
      </c>
      <c r="R5" s="283">
        <v>20700</v>
      </c>
      <c r="S5" s="113"/>
      <c r="T5" s="113"/>
      <c r="U5" s="113"/>
      <c r="AA5" s="113"/>
      <c r="AB5" s="113"/>
      <c r="AC5" s="113"/>
    </row>
    <row r="6" spans="1:29" ht="21">
      <c r="A6" s="274" t="s">
        <v>5768</v>
      </c>
      <c r="B6" s="274" t="s">
        <v>4361</v>
      </c>
      <c r="C6" s="275">
        <v>21532</v>
      </c>
      <c r="D6" s="274">
        <v>2917</v>
      </c>
      <c r="E6" s="276" t="s">
        <v>4219</v>
      </c>
      <c r="F6" s="278">
        <v>1188</v>
      </c>
      <c r="G6" s="295">
        <f t="shared" si="0"/>
        <v>52206.983736096045</v>
      </c>
      <c r="H6" s="296">
        <f t="shared" si="1"/>
        <v>18.124579124579125</v>
      </c>
      <c r="I6" s="281">
        <f>$R$5/$R$2</f>
        <v>21.340206185567009</v>
      </c>
      <c r="J6" s="97">
        <f t="shared" si="2"/>
        <v>1.1774180265861791</v>
      </c>
      <c r="K6" s="97">
        <f t="shared" si="3"/>
        <v>-17.628397338928746</v>
      </c>
      <c r="L6" s="97"/>
      <c r="M6" s="97"/>
      <c r="N6" s="282">
        <f>H6/H5</f>
        <v>1.0084175084175084</v>
      </c>
      <c r="P6" s="113"/>
      <c r="Q6" s="67" t="s">
        <v>5886</v>
      </c>
      <c r="R6" s="303">
        <v>360</v>
      </c>
      <c r="S6" s="113"/>
      <c r="T6" s="113"/>
      <c r="U6" s="113"/>
      <c r="AA6" s="113"/>
      <c r="AB6" s="113"/>
      <c r="AC6" s="113"/>
    </row>
    <row r="7" spans="1:29" ht="21">
      <c r="A7" s="274" t="s">
        <v>5764</v>
      </c>
      <c r="B7" s="274" t="s">
        <v>4361</v>
      </c>
      <c r="C7" s="275">
        <v>21532</v>
      </c>
      <c r="D7" s="274">
        <v>18100</v>
      </c>
      <c r="E7" s="276" t="s">
        <v>4219</v>
      </c>
      <c r="F7" s="278">
        <v>1184</v>
      </c>
      <c r="G7" s="295">
        <f t="shared" si="0"/>
        <v>325039.0099858836</v>
      </c>
      <c r="H7" s="296">
        <f t="shared" si="1"/>
        <v>18.185810810810811</v>
      </c>
      <c r="I7" s="281">
        <f>$R$5/$R$2</f>
        <v>21.340206185567009</v>
      </c>
      <c r="J7" s="97">
        <f t="shared" si="2"/>
        <v>1.1734536561262929</v>
      </c>
      <c r="K7" s="97">
        <f t="shared" si="3"/>
        <v>-17.341466248857561</v>
      </c>
      <c r="L7" s="36"/>
      <c r="M7" s="97"/>
      <c r="N7" s="282">
        <f>H7/H6</f>
        <v>1.0033783783783783</v>
      </c>
      <c r="O7" s="94"/>
      <c r="P7" s="113"/>
      <c r="Q7" s="67" t="s">
        <v>6503</v>
      </c>
      <c r="R7" s="322">
        <v>260</v>
      </c>
      <c r="S7" s="113"/>
      <c r="T7" s="113"/>
      <c r="U7" s="113"/>
      <c r="V7" s="113"/>
      <c r="W7" s="113"/>
      <c r="X7" s="113"/>
      <c r="Y7" s="113"/>
      <c r="Z7" s="113"/>
      <c r="AA7" s="113"/>
      <c r="AB7" s="113"/>
      <c r="AC7" s="113"/>
    </row>
    <row r="8" spans="1:29" ht="21">
      <c r="A8" s="274" t="s">
        <v>5802</v>
      </c>
      <c r="B8" s="274" t="s">
        <v>4361</v>
      </c>
      <c r="C8" s="275">
        <v>17601</v>
      </c>
      <c r="D8" s="274">
        <v>617</v>
      </c>
      <c r="E8" s="276" t="s">
        <v>4219</v>
      </c>
      <c r="F8" s="278">
        <v>982</v>
      </c>
      <c r="G8" s="295">
        <f t="shared" si="0"/>
        <v>10920.317418325176</v>
      </c>
      <c r="H8" s="296">
        <f t="shared" si="1"/>
        <v>17.923625254582486</v>
      </c>
      <c r="I8" s="281">
        <f>$R$5/$R$2</f>
        <v>21.340206185567009</v>
      </c>
      <c r="J8" s="97">
        <f t="shared" si="2"/>
        <v>1.1906188554188286</v>
      </c>
      <c r="K8" s="97">
        <f t="shared" si="3"/>
        <v>-18.570065232149712</v>
      </c>
      <c r="L8" s="36"/>
      <c r="M8" s="97"/>
      <c r="N8" s="282">
        <f>H8/H7</f>
        <v>0.98558296031142778</v>
      </c>
      <c r="P8" s="113"/>
      <c r="Q8" s="67" t="s">
        <v>5876</v>
      </c>
      <c r="R8" s="301">
        <v>160</v>
      </c>
      <c r="S8" s="113"/>
      <c r="T8" s="113"/>
      <c r="U8" s="113"/>
      <c r="V8" s="113"/>
      <c r="W8" s="113"/>
      <c r="X8" s="113"/>
      <c r="Y8" s="113"/>
      <c r="Z8" s="113"/>
      <c r="AA8" s="113"/>
      <c r="AB8" s="113"/>
      <c r="AC8" s="113"/>
    </row>
    <row r="9" spans="1:29">
      <c r="A9" s="60" t="s">
        <v>5714</v>
      </c>
      <c r="B9" s="60" t="s">
        <v>4357</v>
      </c>
      <c r="C9" s="49">
        <v>16290.07</v>
      </c>
      <c r="D9" s="60">
        <v>828</v>
      </c>
      <c r="E9" s="276" t="s">
        <v>4219</v>
      </c>
      <c r="F9" s="278">
        <v>1165</v>
      </c>
      <c r="G9" s="276">
        <f t="shared" si="0"/>
        <v>11432.773639003522</v>
      </c>
      <c r="H9" s="277">
        <f t="shared" si="1"/>
        <v>13.98289270386266</v>
      </c>
      <c r="I9" s="281">
        <f t="shared" ref="I9:I21" si="4">$R$4/$R$2</f>
        <v>14.948453608247423</v>
      </c>
      <c r="J9" s="20">
        <f t="shared" si="2"/>
        <v>1.0690530153405264</v>
      </c>
      <c r="K9" s="20">
        <f t="shared" si="3"/>
        <v>-9.0192694982980761</v>
      </c>
      <c r="L9" s="20"/>
      <c r="M9" s="20"/>
      <c r="N9" s="20">
        <v>1</v>
      </c>
      <c r="P9" s="113"/>
      <c r="Q9" s="113"/>
      <c r="R9" s="113"/>
      <c r="Y9" t="s">
        <v>25</v>
      </c>
    </row>
    <row r="10" spans="1:29">
      <c r="A10" s="60" t="s">
        <v>5806</v>
      </c>
      <c r="B10" s="60" t="s">
        <v>4357</v>
      </c>
      <c r="C10" s="49">
        <v>13371</v>
      </c>
      <c r="D10" s="60">
        <v>598</v>
      </c>
      <c r="E10" s="276" t="s">
        <v>4219</v>
      </c>
      <c r="F10" s="278">
        <v>1163</v>
      </c>
      <c r="G10" s="276">
        <f t="shared" si="0"/>
        <v>6789.0592824092246</v>
      </c>
      <c r="H10" s="277">
        <f t="shared" si="1"/>
        <v>11.496990541702493</v>
      </c>
      <c r="I10" s="281">
        <f t="shared" si="4"/>
        <v>14.948453608247423</v>
      </c>
      <c r="J10" s="20">
        <f t="shared" si="2"/>
        <v>1.3002057846377799</v>
      </c>
      <c r="K10" s="20">
        <f t="shared" si="3"/>
        <v>-25.649097755507476</v>
      </c>
      <c r="L10" s="20"/>
      <c r="M10" s="20"/>
      <c r="N10" s="20">
        <f t="shared" ref="N10:N20" si="5">H10/H9</f>
        <v>0.82221831957035207</v>
      </c>
      <c r="Q10" s="97">
        <v>17960</v>
      </c>
      <c r="R10" s="97">
        <v>14744</v>
      </c>
    </row>
    <row r="11" spans="1:29">
      <c r="A11" s="60" t="s">
        <v>5808</v>
      </c>
      <c r="B11" s="60" t="s">
        <v>4357</v>
      </c>
      <c r="C11" s="49">
        <v>13248</v>
      </c>
      <c r="D11" s="60">
        <v>1000</v>
      </c>
      <c r="E11" s="276" t="s">
        <v>4219</v>
      </c>
      <c r="F11" s="278">
        <v>1142</v>
      </c>
      <c r="G11" s="276">
        <f t="shared" si="0"/>
        <v>11455.352519845814</v>
      </c>
      <c r="H11" s="277">
        <f t="shared" si="1"/>
        <v>11.600700525394046</v>
      </c>
      <c r="I11" s="281">
        <f t="shared" si="4"/>
        <v>14.948453608247423</v>
      </c>
      <c r="J11" s="20">
        <f t="shared" si="2"/>
        <v>1.2885819761940336</v>
      </c>
      <c r="K11" s="20">
        <f t="shared" si="3"/>
        <v>-24.955313726674323</v>
      </c>
      <c r="L11" s="20"/>
      <c r="M11" s="20"/>
      <c r="N11" s="20">
        <f t="shared" si="5"/>
        <v>1.0090206200757816</v>
      </c>
      <c r="Q11" s="97">
        <f>Q10*R11/R10</f>
        <v>3002.672273467173</v>
      </c>
      <c r="R11" s="97">
        <v>2465</v>
      </c>
      <c r="S11" s="113"/>
    </row>
    <row r="12" spans="1:29">
      <c r="A12" s="60" t="s">
        <v>5809</v>
      </c>
      <c r="B12" s="60" t="s">
        <v>4357</v>
      </c>
      <c r="C12" s="49">
        <v>13248</v>
      </c>
      <c r="D12" s="60">
        <v>1000</v>
      </c>
      <c r="E12" s="276" t="s">
        <v>4219</v>
      </c>
      <c r="F12" s="278">
        <v>1131</v>
      </c>
      <c r="G12" s="276">
        <f t="shared" si="0"/>
        <v>11566.76620483105</v>
      </c>
      <c r="H12" s="277">
        <f t="shared" si="1"/>
        <v>11.713527851458887</v>
      </c>
      <c r="I12" s="281">
        <f t="shared" si="4"/>
        <v>14.948453608247423</v>
      </c>
      <c r="J12" s="20">
        <f t="shared" si="2"/>
        <v>1.2761700657403257</v>
      </c>
      <c r="K12" s="20">
        <f t="shared" si="3"/>
        <v>-24.200537821275038</v>
      </c>
      <c r="L12" s="20"/>
      <c r="M12" s="20"/>
      <c r="N12" s="20">
        <f t="shared" si="5"/>
        <v>1.0097259062776305</v>
      </c>
      <c r="Q12" s="97">
        <f>Q10-Q11</f>
        <v>14957.327726532827</v>
      </c>
      <c r="R12" s="97">
        <f>R10-R11</f>
        <v>12279</v>
      </c>
      <c r="S12" s="113"/>
    </row>
    <row r="13" spans="1:29">
      <c r="A13" s="60" t="s">
        <v>5812</v>
      </c>
      <c r="B13" s="60" t="s">
        <v>4357</v>
      </c>
      <c r="C13" s="49">
        <v>12698</v>
      </c>
      <c r="D13" s="60">
        <v>1000</v>
      </c>
      <c r="E13" s="276" t="s">
        <v>4219</v>
      </c>
      <c r="F13" s="278">
        <v>1070</v>
      </c>
      <c r="G13" s="276">
        <f t="shared" si="0"/>
        <v>11718.601553059423</v>
      </c>
      <c r="H13" s="277">
        <f t="shared" si="1"/>
        <v>11.867289719626168</v>
      </c>
      <c r="I13" s="281">
        <f t="shared" si="4"/>
        <v>14.948453608247423</v>
      </c>
      <c r="J13" s="20">
        <f t="shared" si="2"/>
        <v>1.2596350103027834</v>
      </c>
      <c r="K13" s="20">
        <f t="shared" si="3"/>
        <v>-23.171923944569784</v>
      </c>
      <c r="L13" s="20"/>
      <c r="M13" s="20"/>
      <c r="N13" s="20">
        <f t="shared" si="5"/>
        <v>1.0131268623865637</v>
      </c>
      <c r="S13" s="113"/>
      <c r="X13" t="s">
        <v>25</v>
      </c>
    </row>
    <row r="14" spans="1:29">
      <c r="A14" s="300" t="s">
        <v>5812</v>
      </c>
      <c r="B14" s="60" t="s">
        <v>4357</v>
      </c>
      <c r="C14" s="49">
        <v>12748</v>
      </c>
      <c r="D14" s="60">
        <v>1000</v>
      </c>
      <c r="E14" s="276" t="s">
        <v>4219</v>
      </c>
      <c r="F14" s="278">
        <v>1083</v>
      </c>
      <c r="G14" s="276">
        <f t="shared" si="0"/>
        <v>11623.524653353457</v>
      </c>
      <c r="H14" s="277">
        <f t="shared" si="1"/>
        <v>11.77100646352724</v>
      </c>
      <c r="I14" s="281">
        <f t="shared" si="4"/>
        <v>14.948453608247423</v>
      </c>
      <c r="J14" s="20">
        <f t="shared" si="2"/>
        <v>1.2699384419306525</v>
      </c>
      <c r="K14" s="20">
        <f t="shared" si="3"/>
        <v>-23.816025726748823</v>
      </c>
      <c r="L14" s="20"/>
      <c r="M14" s="20" t="s">
        <v>25</v>
      </c>
      <c r="N14" s="20">
        <f t="shared" si="5"/>
        <v>0.99188666844968865</v>
      </c>
    </row>
    <row r="15" spans="1:29">
      <c r="A15" s="300" t="s">
        <v>5814</v>
      </c>
      <c r="B15" s="60" t="s">
        <v>4357</v>
      </c>
      <c r="C15" s="49">
        <v>12771</v>
      </c>
      <c r="D15" s="60">
        <v>1580</v>
      </c>
      <c r="E15" s="276" t="s">
        <v>4219</v>
      </c>
      <c r="F15" s="278">
        <v>1058</v>
      </c>
      <c r="G15" s="276">
        <f t="shared" si="0"/>
        <v>18833.045994913271</v>
      </c>
      <c r="H15" s="277">
        <f t="shared" si="1"/>
        <v>12.070888468809073</v>
      </c>
      <c r="I15" s="281">
        <f t="shared" si="4"/>
        <v>14.948453608247423</v>
      </c>
      <c r="J15" s="20">
        <f t="shared" si="2"/>
        <v>1.2383888432797567</v>
      </c>
      <c r="K15" s="20">
        <f t="shared" si="3"/>
        <v>-21.809918519001382</v>
      </c>
      <c r="L15" s="20"/>
      <c r="M15" s="20"/>
      <c r="N15" s="20">
        <f t="shared" si="5"/>
        <v>1.0254763266175264</v>
      </c>
    </row>
    <row r="16" spans="1:29">
      <c r="A16" s="300" t="s">
        <v>5822</v>
      </c>
      <c r="B16" s="60" t="s">
        <v>4357</v>
      </c>
      <c r="C16" s="49">
        <v>12777.5</v>
      </c>
      <c r="D16" s="60">
        <v>948</v>
      </c>
      <c r="E16" s="276" t="s">
        <v>4219</v>
      </c>
      <c r="F16" s="278">
        <v>1038</v>
      </c>
      <c r="G16" s="276">
        <f t="shared" si="0"/>
        <v>11523.412709412747</v>
      </c>
      <c r="H16" s="277">
        <f t="shared" si="1"/>
        <v>12.309730250481696</v>
      </c>
      <c r="I16" s="281">
        <f t="shared" si="4"/>
        <v>14.948453608247423</v>
      </c>
      <c r="J16" s="20">
        <f t="shared" si="2"/>
        <v>1.214360778349507</v>
      </c>
      <c r="K16" s="20">
        <f t="shared" si="3"/>
        <v>-20.212149358846599</v>
      </c>
      <c r="L16" s="20"/>
      <c r="M16" s="20"/>
      <c r="N16" s="20">
        <f t="shared" si="5"/>
        <v>1.0197865950207214</v>
      </c>
      <c r="Q16" s="97">
        <v>1030.8</v>
      </c>
      <c r="R16" s="97">
        <f>Q16/0.99114</f>
        <v>1040.0145287244991</v>
      </c>
    </row>
    <row r="17" spans="1:24">
      <c r="A17" s="300" t="s">
        <v>5827</v>
      </c>
      <c r="B17" s="60" t="s">
        <v>4357</v>
      </c>
      <c r="C17" s="49">
        <v>12782</v>
      </c>
      <c r="D17" s="60">
        <v>1648</v>
      </c>
      <c r="E17" s="276" t="s">
        <v>4219</v>
      </c>
      <c r="F17" s="278">
        <v>1019</v>
      </c>
      <c r="G17" s="276">
        <f t="shared" si="0"/>
        <v>20412.964461550731</v>
      </c>
      <c r="H17" s="277">
        <f t="shared" si="1"/>
        <v>12.543670264965652</v>
      </c>
      <c r="I17" s="281">
        <f t="shared" si="4"/>
        <v>14.948453608247423</v>
      </c>
      <c r="J17" s="20">
        <f t="shared" si="2"/>
        <v>1.1917128952279865</v>
      </c>
      <c r="K17" s="20">
        <f t="shared" si="3"/>
        <v>-18.647171330919431</v>
      </c>
      <c r="L17" s="20"/>
      <c r="M17" s="20"/>
      <c r="N17" s="20">
        <f t="shared" si="5"/>
        <v>1.019004479360935</v>
      </c>
      <c r="Q17" s="97">
        <v>12488</v>
      </c>
      <c r="R17" s="97">
        <f>Q17/1.0037158</f>
        <v>12441.768875213482</v>
      </c>
    </row>
    <row r="18" spans="1:24">
      <c r="A18" s="300" t="s">
        <v>5827</v>
      </c>
      <c r="B18" s="60" t="s">
        <v>4357</v>
      </c>
      <c r="C18" s="49">
        <v>12905</v>
      </c>
      <c r="D18" s="60">
        <v>3000</v>
      </c>
      <c r="E18" s="276" t="s">
        <v>4219</v>
      </c>
      <c r="F18" s="278">
        <v>1021</v>
      </c>
      <c r="G18" s="276">
        <f t="shared" si="0"/>
        <v>37443.614422035993</v>
      </c>
      <c r="H18" s="277">
        <f t="shared" si="1"/>
        <v>12.639569049951028</v>
      </c>
      <c r="I18" s="281">
        <f t="shared" si="4"/>
        <v>14.948453608247423</v>
      </c>
      <c r="J18" s="20">
        <f t="shared" si="2"/>
        <v>1.1826711456040775</v>
      </c>
      <c r="K18" s="20">
        <f t="shared" si="3"/>
        <v>-18.005641527913831</v>
      </c>
      <c r="L18" s="20"/>
      <c r="M18" s="20"/>
      <c r="N18" s="20">
        <f t="shared" si="5"/>
        <v>1.0076451933891486</v>
      </c>
      <c r="Q18" s="97">
        <v>140665</v>
      </c>
      <c r="R18" s="97">
        <f>Q18*0.99114/1.0037158</f>
        <v>138902.5739158435</v>
      </c>
    </row>
    <row r="19" spans="1:24">
      <c r="A19" s="300" t="s">
        <v>5430</v>
      </c>
      <c r="B19" s="60" t="s">
        <v>4357</v>
      </c>
      <c r="C19" s="49">
        <v>12717</v>
      </c>
      <c r="D19" s="60">
        <v>175</v>
      </c>
      <c r="E19" s="276" t="s">
        <v>4219</v>
      </c>
      <c r="F19" s="278">
        <v>988</v>
      </c>
      <c r="G19" s="276">
        <f t="shared" si="0"/>
        <v>2224.2828755816022</v>
      </c>
      <c r="H19" s="277">
        <f t="shared" si="1"/>
        <v>12.871457489878543</v>
      </c>
      <c r="I19" s="281">
        <f t="shared" si="4"/>
        <v>14.948453608247423</v>
      </c>
      <c r="J19" s="20">
        <f t="shared" si="2"/>
        <v>1.1613644857237126</v>
      </c>
      <c r="K19" s="20">
        <f t="shared" si="3"/>
        <v>-16.454387826329754</v>
      </c>
      <c r="L19" s="20"/>
      <c r="M19" s="20"/>
      <c r="N19" s="20">
        <f t="shared" si="5"/>
        <v>1.0183462299237498</v>
      </c>
    </row>
    <row r="20" spans="1:24">
      <c r="A20" s="300" t="s">
        <v>5872</v>
      </c>
      <c r="B20" s="60" t="s">
        <v>4357</v>
      </c>
      <c r="C20" s="49">
        <v>16189.1</v>
      </c>
      <c r="D20" s="60">
        <v>9477</v>
      </c>
      <c r="E20" s="276" t="s">
        <v>4219</v>
      </c>
      <c r="F20" s="278">
        <v>1179.0999999999999</v>
      </c>
      <c r="G20" s="276">
        <f t="shared" si="0"/>
        <v>128489.36708680206</v>
      </c>
      <c r="H20" s="277">
        <f t="shared" si="1"/>
        <v>13.73004834195573</v>
      </c>
      <c r="I20" s="281">
        <f t="shared" si="4"/>
        <v>14.948453608247423</v>
      </c>
      <c r="J20" s="20">
        <f t="shared" si="2"/>
        <v>1.0887400565494398</v>
      </c>
      <c r="K20" s="20">
        <f t="shared" si="3"/>
        <v>-10.710711091744439</v>
      </c>
      <c r="L20" s="20"/>
      <c r="M20" s="20"/>
      <c r="N20" s="20">
        <f t="shared" si="5"/>
        <v>1.0667050217702494</v>
      </c>
    </row>
    <row r="21" spans="1:24" ht="21">
      <c r="A21" s="300" t="s">
        <v>6478</v>
      </c>
      <c r="B21" s="60" t="s">
        <v>4357</v>
      </c>
      <c r="C21" s="49">
        <v>14499</v>
      </c>
      <c r="D21" s="60">
        <v>200</v>
      </c>
      <c r="E21" s="276" t="s">
        <v>4219</v>
      </c>
      <c r="F21" s="278">
        <v>1019</v>
      </c>
      <c r="G21" s="276">
        <f t="shared" si="0"/>
        <v>2810.0762499755424</v>
      </c>
      <c r="H21" s="277">
        <f t="shared" si="1"/>
        <v>14.22865554465162</v>
      </c>
      <c r="I21" s="281">
        <f t="shared" si="4"/>
        <v>14.948453608247423</v>
      </c>
      <c r="J21" s="20">
        <f t="shared" si="2"/>
        <v>1.0505879182567159</v>
      </c>
      <c r="K21" s="321">
        <f t="shared" si="3"/>
        <v>-7.375200839227114</v>
      </c>
      <c r="L21" s="20"/>
      <c r="M21" s="20"/>
      <c r="N21" s="20">
        <f>H21/H20</f>
        <v>1.0363150362094695</v>
      </c>
    </row>
    <row r="22" spans="1:24" ht="21">
      <c r="A22" s="276" t="s">
        <v>6533</v>
      </c>
      <c r="B22" s="276" t="s">
        <v>4219</v>
      </c>
      <c r="C22" s="278">
        <v>1030</v>
      </c>
      <c r="D22" s="276">
        <v>448</v>
      </c>
      <c r="E22" s="297" t="s">
        <v>5280</v>
      </c>
      <c r="F22" s="318">
        <v>1232.5</v>
      </c>
      <c r="G22" s="297">
        <f t="shared" si="0"/>
        <v>369.70264156140303</v>
      </c>
      <c r="H22" s="297">
        <f t="shared" si="1"/>
        <v>0.83569979716024345</v>
      </c>
      <c r="I22" s="297">
        <f>$R$2/$R$3</f>
        <v>0.79901153212520593</v>
      </c>
      <c r="J22" s="97">
        <f t="shared" si="2"/>
        <v>0.95609875081972451</v>
      </c>
      <c r="K22" s="320">
        <f t="shared" si="3"/>
        <v>2.0317065724263506</v>
      </c>
      <c r="L22" s="97"/>
      <c r="M22" s="97"/>
      <c r="N22" s="97">
        <v>1</v>
      </c>
      <c r="P22">
        <f>1028/1290</f>
        <v>0.79689922480620157</v>
      </c>
      <c r="Q22">
        <f>998/1274</f>
        <v>0.78335949764521196</v>
      </c>
    </row>
    <row r="23" spans="1:24">
      <c r="A23" s="60" t="s">
        <v>5812</v>
      </c>
      <c r="B23" s="60" t="s">
        <v>4357</v>
      </c>
      <c r="C23" s="49">
        <v>12975.5</v>
      </c>
      <c r="D23" s="60">
        <v>8000</v>
      </c>
      <c r="E23" s="297" t="s">
        <v>5280</v>
      </c>
      <c r="F23" s="318">
        <v>1266.3</v>
      </c>
      <c r="G23" s="297">
        <f t="shared" si="0"/>
        <v>80947.180267609016</v>
      </c>
      <c r="H23" s="297">
        <f t="shared" si="1"/>
        <v>10.246781963199874</v>
      </c>
      <c r="I23" s="297">
        <f>$R$4/$R$3</f>
        <v>11.943986820428336</v>
      </c>
      <c r="J23" s="97">
        <f t="shared" si="2"/>
        <v>1.1656329629461988</v>
      </c>
      <c r="K23" s="97">
        <f t="shared" si="3"/>
        <v>-16.769701356381759</v>
      </c>
      <c r="L23" s="97"/>
      <c r="M23" s="97"/>
      <c r="N23" s="97">
        <v>1</v>
      </c>
      <c r="P23">
        <f>I22/P22</f>
        <v>1.0026506580170385</v>
      </c>
      <c r="Q23" s="94">
        <f>I22/P22</f>
        <v>1.0026506580170385</v>
      </c>
    </row>
    <row r="24" spans="1:24" ht="21">
      <c r="A24" s="60" t="s">
        <v>5814</v>
      </c>
      <c r="B24" s="60" t="s">
        <v>4357</v>
      </c>
      <c r="C24" s="49">
        <v>12936</v>
      </c>
      <c r="D24" s="60">
        <v>316</v>
      </c>
      <c r="E24" s="297" t="s">
        <v>5280</v>
      </c>
      <c r="F24" s="318">
        <v>1250.3</v>
      </c>
      <c r="G24" s="297">
        <f t="shared" si="0"/>
        <v>3228.4725727825744</v>
      </c>
      <c r="H24" s="297">
        <f t="shared" si="1"/>
        <v>10.346316883947853</v>
      </c>
      <c r="I24" s="297">
        <f>$R$4/$R$3</f>
        <v>11.943986820428336</v>
      </c>
      <c r="J24" s="97">
        <f t="shared" si="2"/>
        <v>1.1544191961643124</v>
      </c>
      <c r="K24" s="320">
        <f t="shared" si="3"/>
        <v>-15.936353813015902</v>
      </c>
      <c r="L24" s="97" t="s">
        <v>25</v>
      </c>
      <c r="M24" s="97" t="s">
        <v>25</v>
      </c>
      <c r="N24" s="97">
        <f>H24/H23</f>
        <v>1.0097137736613746</v>
      </c>
      <c r="P24" s="112">
        <f>R3-R2</f>
        <v>244</v>
      </c>
      <c r="X24" t="s">
        <v>25</v>
      </c>
    </row>
    <row r="25" spans="1:24">
      <c r="A25" s="60" t="s">
        <v>6464</v>
      </c>
      <c r="B25" s="60" t="s">
        <v>4357</v>
      </c>
      <c r="C25" s="49">
        <v>14500</v>
      </c>
      <c r="D25" s="60">
        <v>32</v>
      </c>
      <c r="E25" s="150" t="s">
        <v>5924</v>
      </c>
      <c r="F25" s="230">
        <v>1973</v>
      </c>
      <c r="G25" s="150">
        <f t="shared" si="0"/>
        <v>232.22829744562071</v>
      </c>
      <c r="H25" s="150">
        <f t="shared" si="1"/>
        <v>7.3492143943233659</v>
      </c>
      <c r="I25" s="150">
        <f>$R$4/$R$1</f>
        <v>8.1187010078387463</v>
      </c>
      <c r="J25" s="97">
        <f t="shared" si="2"/>
        <v>1.104703247480403</v>
      </c>
      <c r="K25" s="97">
        <f t="shared" si="3"/>
        <v>-12.037952356817028</v>
      </c>
      <c r="L25" s="97"/>
      <c r="M25" s="97"/>
      <c r="N25" s="97">
        <v>1</v>
      </c>
    </row>
    <row r="26" spans="1:24" ht="21">
      <c r="A26" s="60" t="s">
        <v>6478</v>
      </c>
      <c r="B26" s="60" t="s">
        <v>4357</v>
      </c>
      <c r="C26" s="49">
        <v>14503</v>
      </c>
      <c r="D26" s="60">
        <v>200</v>
      </c>
      <c r="E26" s="150" t="s">
        <v>5924</v>
      </c>
      <c r="F26" s="230">
        <v>1898</v>
      </c>
      <c r="G26" s="150">
        <f t="shared" si="0"/>
        <v>1509.0925581296149</v>
      </c>
      <c r="H26" s="150">
        <f t="shared" si="1"/>
        <v>7.6412012644889353</v>
      </c>
      <c r="I26" s="150">
        <f>$R$4/$R$1</f>
        <v>8.1187010078387463</v>
      </c>
      <c r="J26" s="97">
        <f t="shared" si="2"/>
        <v>1.0624901408589906</v>
      </c>
      <c r="K26" s="320">
        <f t="shared" si="3"/>
        <v>-8.4414795973983718</v>
      </c>
      <c r="L26" s="97" t="s">
        <v>25</v>
      </c>
      <c r="M26" s="97" t="s">
        <v>25</v>
      </c>
      <c r="N26" s="97">
        <f>H26/H25</f>
        <v>1.039730351368046</v>
      </c>
      <c r="P26">
        <v>235</v>
      </c>
      <c r="R26" t="s">
        <v>25</v>
      </c>
      <c r="X26" t="s">
        <v>25</v>
      </c>
    </row>
    <row r="27" spans="1:24">
      <c r="A27" s="276" t="s">
        <v>6469</v>
      </c>
      <c r="B27" s="276" t="s">
        <v>4219</v>
      </c>
      <c r="C27" s="278">
        <v>1038</v>
      </c>
      <c r="D27" s="276">
        <v>100000</v>
      </c>
      <c r="E27" s="150" t="s">
        <v>5924</v>
      </c>
      <c r="F27" s="150">
        <v>1955</v>
      </c>
      <c r="G27" s="150">
        <f t="shared" si="0"/>
        <v>52429.393600945587</v>
      </c>
      <c r="H27" s="150">
        <f t="shared" si="1"/>
        <v>0.53094629156010231</v>
      </c>
      <c r="I27" s="150">
        <f>$R$2/$R$1</f>
        <v>0.54311310190369544</v>
      </c>
      <c r="J27" s="97">
        <f t="shared" si="2"/>
        <v>1.0229153316201585</v>
      </c>
      <c r="K27" s="97">
        <f t="shared" si="3"/>
        <v>-4.8001982756347701</v>
      </c>
      <c r="L27" s="97"/>
      <c r="M27" s="97"/>
      <c r="N27" s="97">
        <v>1</v>
      </c>
      <c r="R27">
        <f>369/G22</f>
        <v>0.99809944132821049</v>
      </c>
    </row>
    <row r="28" spans="1:24">
      <c r="A28" s="276" t="s">
        <v>6493</v>
      </c>
      <c r="B28" s="276" t="s">
        <v>4219</v>
      </c>
      <c r="C28" s="278">
        <v>1028</v>
      </c>
      <c r="D28" s="276">
        <v>1</v>
      </c>
      <c r="E28" s="150" t="s">
        <v>5924</v>
      </c>
      <c r="F28" s="150">
        <v>1862</v>
      </c>
      <c r="G28" s="150">
        <f t="shared" ref="G28" si="6">C28*D28*0.99114/(F28*1.0037158)</f>
        <v>0.54517719513256924</v>
      </c>
      <c r="H28" s="150">
        <f t="shared" ref="H28" si="7">C28/F28</f>
        <v>0.55209452201933407</v>
      </c>
      <c r="I28" s="150">
        <f>$R$2/$R$1</f>
        <v>0.54311310190369544</v>
      </c>
      <c r="J28" s="97">
        <f>I28/H28</f>
        <v>0.98373209702789965</v>
      </c>
      <c r="K28" s="97">
        <f>(1/J28-1.0256)*100</f>
        <v>-0.90630759520302639</v>
      </c>
      <c r="L28" s="97"/>
      <c r="M28" s="97"/>
      <c r="N28" s="97">
        <f>H28/H27</f>
        <v>1.0398312047666649</v>
      </c>
    </row>
    <row r="29" spans="1:24">
      <c r="A29" s="276" t="s">
        <v>6533</v>
      </c>
      <c r="B29" s="276" t="s">
        <v>4219</v>
      </c>
      <c r="C29" s="297">
        <v>1461.2</v>
      </c>
      <c r="D29" s="297">
        <v>8502</v>
      </c>
      <c r="E29" s="23" t="s">
        <v>5876</v>
      </c>
      <c r="F29" s="35">
        <v>410</v>
      </c>
      <c r="G29" s="23">
        <f>C29*D29*0.99114/(F29*1.00103)</f>
        <v>30000.936926516904</v>
      </c>
      <c r="H29" s="23">
        <f>C29/F29</f>
        <v>3.5639024390243903</v>
      </c>
      <c r="I29" s="23">
        <f>$R$3/$R$8</f>
        <v>7.5875000000000004</v>
      </c>
      <c r="J29" s="97">
        <f>I29/H29</f>
        <v>2.1289864494935671</v>
      </c>
      <c r="K29" s="97">
        <f>(1/J29-1.0146358)*100</f>
        <v>-54.492872401655475</v>
      </c>
      <c r="L29" s="97"/>
      <c r="M29" s="97"/>
      <c r="N29" s="97">
        <v>1</v>
      </c>
      <c r="S29" t="s">
        <v>25</v>
      </c>
    </row>
    <row r="30" spans="1:24">
      <c r="A30" s="297" t="s">
        <v>5874</v>
      </c>
      <c r="B30" s="297" t="s">
        <v>5280</v>
      </c>
      <c r="C30" s="49">
        <v>15396.7</v>
      </c>
      <c r="D30" s="60">
        <v>835.71</v>
      </c>
      <c r="E30" s="302" t="s">
        <v>5886</v>
      </c>
      <c r="F30" s="319">
        <v>490</v>
      </c>
      <c r="G30" s="302">
        <f>C30*D30*0.99114/(F30*1.00103)</f>
        <v>26000.103518373991</v>
      </c>
      <c r="H30" s="302">
        <f t="shared" si="1"/>
        <v>31.42183673469388</v>
      </c>
      <c r="I30" s="302">
        <f>$R$4/$R$6</f>
        <v>40.277777777777779</v>
      </c>
      <c r="J30" s="97">
        <f t="shared" si="2"/>
        <v>1.2818403366377931</v>
      </c>
      <c r="K30" s="97">
        <f>(1/J30-1.0146358)*100</f>
        <v>-23.45074396903588</v>
      </c>
      <c r="L30" s="97"/>
      <c r="M30" s="97"/>
      <c r="N30" s="97">
        <v>1</v>
      </c>
      <c r="S30" t="s">
        <v>25</v>
      </c>
    </row>
    <row r="31" spans="1:24">
      <c r="A31" s="60" t="s">
        <v>5885</v>
      </c>
      <c r="B31" s="60" t="s">
        <v>4357</v>
      </c>
      <c r="C31" s="113"/>
      <c r="D31" s="94"/>
      <c r="E31" s="94"/>
      <c r="F31" s="94"/>
      <c r="G31" s="94"/>
      <c r="H31" s="94"/>
      <c r="I31" s="94"/>
      <c r="J31" s="94"/>
      <c r="K31" s="94"/>
      <c r="L31" s="94"/>
      <c r="M31" s="94"/>
      <c r="N31" s="94"/>
      <c r="R31" t="s">
        <v>25</v>
      </c>
    </row>
    <row r="32" spans="1:24">
      <c r="A32" s="94"/>
      <c r="B32" s="113"/>
      <c r="C32" s="278">
        <v>1019</v>
      </c>
      <c r="D32" s="276">
        <v>10000</v>
      </c>
      <c r="E32" s="302" t="s">
        <v>5886</v>
      </c>
      <c r="F32" s="319">
        <v>390</v>
      </c>
      <c r="G32" s="302">
        <v>10000</v>
      </c>
      <c r="H32" s="302"/>
      <c r="I32" s="319">
        <f>C32*D32*0.99114-F32*G32*1.00125</f>
        <v>6194841.5999999996</v>
      </c>
      <c r="J32" s="97">
        <f>(G32*$R$6*0.99875+I32)/(R2*1.0037158)</f>
        <v>10055.770438308427</v>
      </c>
      <c r="K32" s="97">
        <f>J32-D32</f>
        <v>55.770438308427401</v>
      </c>
      <c r="L32" s="97"/>
      <c r="M32" s="97"/>
      <c r="N32" s="97"/>
      <c r="R32" t="s">
        <v>25</v>
      </c>
    </row>
    <row r="33" spans="1:20">
      <c r="A33" s="276" t="s">
        <v>6478</v>
      </c>
      <c r="B33" s="276" t="s">
        <v>4219</v>
      </c>
      <c r="C33" s="278">
        <v>990</v>
      </c>
      <c r="D33" s="276">
        <v>4000</v>
      </c>
      <c r="E33" s="302" t="s">
        <v>5886</v>
      </c>
      <c r="F33" s="319">
        <v>360</v>
      </c>
      <c r="G33" s="302">
        <v>4000</v>
      </c>
      <c r="H33" s="302"/>
      <c r="I33" s="319">
        <f>C33*D33*0.99114-F33*G33*1.00125</f>
        <v>2483114.4</v>
      </c>
      <c r="J33" s="97">
        <f>(G33*$R$6*0.99875+I33)/(R2*1.0037158)</f>
        <v>4027.6263111016624</v>
      </c>
      <c r="K33" s="97">
        <f>J33-D33</f>
        <v>27.626311101662395</v>
      </c>
      <c r="L33" s="97"/>
      <c r="M33" s="97"/>
      <c r="N33" s="97"/>
      <c r="T33" t="s">
        <v>25</v>
      </c>
    </row>
    <row r="34" spans="1:20">
      <c r="A34" s="276" t="s">
        <v>6502</v>
      </c>
      <c r="B34" s="276" t="s">
        <v>4219</v>
      </c>
      <c r="C34" s="278">
        <v>930</v>
      </c>
      <c r="D34" s="276">
        <v>158000</v>
      </c>
      <c r="E34" s="302" t="s">
        <v>5886</v>
      </c>
      <c r="F34" s="319">
        <v>300</v>
      </c>
      <c r="G34" s="302">
        <v>158000</v>
      </c>
      <c r="H34" s="302"/>
      <c r="I34" s="319">
        <f>C34*D34*0.99114-F34*G34*1.00125</f>
        <v>98178861.599999994</v>
      </c>
      <c r="J34" s="97">
        <f>(G34*$R$6*0.99875+I34)/(R2*1.0037158)</f>
        <v>159189.68051093069</v>
      </c>
      <c r="K34" s="97">
        <f>J34-D34</f>
        <v>1189.6805109306879</v>
      </c>
      <c r="L34" s="97"/>
      <c r="M34" s="97"/>
      <c r="N34" s="97"/>
      <c r="P34">
        <f>C32/F32</f>
        <v>2.6128205128205129</v>
      </c>
      <c r="Q34">
        <f>R2/R6</f>
        <v>2.6944444444444446</v>
      </c>
    </row>
    <row r="35" spans="1:20">
      <c r="A35" s="276" t="s">
        <v>6510</v>
      </c>
      <c r="B35" s="276" t="s">
        <v>4219</v>
      </c>
      <c r="C35" s="94"/>
      <c r="D35" s="94"/>
      <c r="E35" s="94"/>
      <c r="F35" s="94"/>
      <c r="G35" s="94" t="s">
        <v>6538</v>
      </c>
      <c r="H35" s="94"/>
      <c r="I35" s="94"/>
      <c r="J35" s="94"/>
      <c r="K35" s="94"/>
      <c r="L35" s="94"/>
      <c r="M35" s="94"/>
      <c r="N35" s="94"/>
      <c r="P35" s="112">
        <f>C32-F32</f>
        <v>629</v>
      </c>
      <c r="Q35" s="112">
        <f>R2-R6</f>
        <v>610</v>
      </c>
    </row>
    <row r="36" spans="1:20">
      <c r="A36" s="94"/>
      <c r="B36" s="94"/>
      <c r="C36" s="113"/>
      <c r="D36" s="113"/>
      <c r="E36" s="113"/>
      <c r="F36" s="113"/>
      <c r="G36" s="113"/>
      <c r="H36" s="113"/>
      <c r="I36" s="113"/>
      <c r="J36" s="113"/>
      <c r="K36" s="113"/>
      <c r="L36" s="113"/>
      <c r="M36" s="113"/>
      <c r="N36" s="113"/>
    </row>
    <row r="37" spans="1:20">
      <c r="A37" s="113"/>
      <c r="B37" s="113"/>
      <c r="C37" s="97"/>
      <c r="D37" s="97"/>
      <c r="E37" s="97"/>
      <c r="F37" s="97"/>
      <c r="G37" s="97"/>
      <c r="H37" s="97"/>
      <c r="I37" s="97"/>
      <c r="J37" s="97"/>
      <c r="K37" s="97"/>
      <c r="L37" s="97"/>
      <c r="M37" s="97"/>
      <c r="N37" s="97"/>
    </row>
    <row r="38" spans="1:20">
      <c r="A38" s="97" t="s">
        <v>5537</v>
      </c>
      <c r="B38" s="97"/>
      <c r="C38" s="274">
        <v>21532</v>
      </c>
      <c r="D38" s="274">
        <v>1859</v>
      </c>
      <c r="E38" s="276" t="s">
        <v>4219</v>
      </c>
      <c r="F38" s="276">
        <v>1187</v>
      </c>
      <c r="G38" s="276">
        <f>C38*D38*0.99114/(F38*1.0037158)</f>
        <v>33299.467209851166</v>
      </c>
      <c r="H38" s="276">
        <f>C38/F38</f>
        <v>18.139848357203032</v>
      </c>
      <c r="I38" s="276">
        <f>$R$5/$R$2</f>
        <v>21.340206185567009</v>
      </c>
      <c r="J38" s="97">
        <f>I38/H38</f>
        <v>1.1764269339712075</v>
      </c>
      <c r="K38" s="97">
        <f>(1/J38-1.0256)*100</f>
        <v>-17.55684586238192</v>
      </c>
      <c r="L38" s="97"/>
      <c r="M38" s="97"/>
      <c r="N38" s="97">
        <v>1</v>
      </c>
    </row>
    <row r="39" spans="1:20">
      <c r="A39" s="274" t="s">
        <v>5764</v>
      </c>
      <c r="B39" s="274" t="s">
        <v>4361</v>
      </c>
      <c r="C39" s="274">
        <v>22420.1</v>
      </c>
      <c r="D39" s="274">
        <v>1000</v>
      </c>
      <c r="E39" s="276" t="s">
        <v>4219</v>
      </c>
      <c r="F39" s="276">
        <v>1161</v>
      </c>
      <c r="G39" s="276">
        <f>C39*D39*0.99114/(F39*1.0037158)</f>
        <v>19069.072437793271</v>
      </c>
      <c r="H39" s="276">
        <f>C39/F39</f>
        <v>19.311024978466836</v>
      </c>
      <c r="I39" s="276">
        <f>$R$5/$R$2</f>
        <v>21.340206185567009</v>
      </c>
      <c r="J39" s="97">
        <f>I39/H39</f>
        <v>1.1050788971254946</v>
      </c>
      <c r="K39" s="97">
        <f>(1/J39-1.0256)*100</f>
        <v>-12.068723530855884</v>
      </c>
      <c r="L39" s="97" t="s">
        <v>25</v>
      </c>
      <c r="M39" s="97"/>
      <c r="N39" s="97">
        <f>H39/H38</f>
        <v>1.064563749277361</v>
      </c>
    </row>
    <row r="40" spans="1:20">
      <c r="A40" s="274" t="s">
        <v>5770</v>
      </c>
      <c r="B40" s="274" t="s">
        <v>4361</v>
      </c>
      <c r="C40" s="274">
        <v>23233.1</v>
      </c>
      <c r="D40" s="274">
        <v>1000</v>
      </c>
      <c r="E40" s="276" t="s">
        <v>4219</v>
      </c>
      <c r="F40" s="276">
        <v>1152</v>
      </c>
      <c r="G40" s="276">
        <f>C40*D40*0.99114/(F40*1.0037158)</f>
        <v>19914.936480069027</v>
      </c>
      <c r="H40" s="276">
        <f>C40/F40</f>
        <v>20.167621527777776</v>
      </c>
      <c r="I40" s="276">
        <f>$R$5/$R$2</f>
        <v>21.340206185567009</v>
      </c>
      <c r="J40" s="97">
        <f>I40/H40</f>
        <v>1.0581419408418677</v>
      </c>
      <c r="K40" s="97">
        <f>(1/J40-1.0256)*100</f>
        <v>-8.0547203770799936</v>
      </c>
      <c r="L40" s="97"/>
      <c r="M40" s="97"/>
      <c r="N40" s="97">
        <f>H40/H39</f>
        <v>1.0443579017823292</v>
      </c>
    </row>
    <row r="41" spans="1:20">
      <c r="A41" s="274" t="s">
        <v>5772</v>
      </c>
      <c r="B41" s="274" t="s">
        <v>4361</v>
      </c>
      <c r="C41" s="274">
        <v>23900</v>
      </c>
      <c r="D41" s="274">
        <v>1000</v>
      </c>
      <c r="E41" s="276" t="s">
        <v>4219</v>
      </c>
      <c r="F41" s="276">
        <v>1153</v>
      </c>
      <c r="G41" s="276">
        <f>C41*D41*0.99114/(F41*1.0037158)</f>
        <v>20468.821398374203</v>
      </c>
      <c r="H41" s="276">
        <f>C41/F41</f>
        <v>20.7285342584562</v>
      </c>
      <c r="I41" s="276">
        <f>$R$5/$R$2</f>
        <v>21.340206185567009</v>
      </c>
      <c r="J41" s="97">
        <f>I41/H41</f>
        <v>1.0295086917137557</v>
      </c>
      <c r="K41" s="97">
        <f>(1/J41-1.0256)*100</f>
        <v>-5.4262887405675642</v>
      </c>
      <c r="L41" s="97"/>
      <c r="M41" s="97"/>
      <c r="N41" s="97">
        <f>H41/H40</f>
        <v>1.0278125375322942</v>
      </c>
    </row>
    <row r="42" spans="1:20">
      <c r="A42" s="274" t="s">
        <v>5774</v>
      </c>
      <c r="B42" s="274" t="s">
        <v>4361</v>
      </c>
      <c r="C42" s="274">
        <v>22500</v>
      </c>
      <c r="D42" s="274">
        <v>2000</v>
      </c>
      <c r="E42" s="276" t="s">
        <v>4219</v>
      </c>
      <c r="F42" s="276">
        <v>1093</v>
      </c>
      <c r="G42" s="276">
        <f>C42*D42*0.99114/(F42*1.0037158)</f>
        <v>40655.246136679802</v>
      </c>
      <c r="H42" s="276">
        <f>C42/F42</f>
        <v>20.585544373284538</v>
      </c>
      <c r="I42" s="276">
        <f>$R$5/$R$2</f>
        <v>21.340206185567009</v>
      </c>
      <c r="J42" s="97">
        <f>I42/H42</f>
        <v>1.0366597938144329</v>
      </c>
      <c r="K42" s="97">
        <f>(1/J42-1.0256)*100</f>
        <v>-6.0963379609371815</v>
      </c>
      <c r="L42" s="97"/>
      <c r="M42" s="97"/>
      <c r="N42" s="97">
        <f>H42/H41</f>
        <v>0.99310178503753443</v>
      </c>
      <c r="R42" t="s">
        <v>25</v>
      </c>
    </row>
    <row r="43" spans="1:20">
      <c r="A43" s="274" t="s">
        <v>5787</v>
      </c>
      <c r="B43" s="274" t="s">
        <v>4361</v>
      </c>
      <c r="N43" s="94"/>
    </row>
    <row r="44" spans="1:20">
      <c r="A44" s="94"/>
      <c r="N44" s="94"/>
    </row>
    <row r="45" spans="1:20">
      <c r="A45" s="94"/>
    </row>
    <row r="46" spans="1:20">
      <c r="A46" s="94"/>
      <c r="C46" s="97"/>
      <c r="D46" s="97"/>
    </row>
    <row r="47" spans="1:20">
      <c r="A47" s="97"/>
      <c r="B47" s="97"/>
      <c r="C47" s="97">
        <v>199000</v>
      </c>
      <c r="D47" s="93">
        <f>C47*B48</f>
        <v>123380000</v>
      </c>
    </row>
    <row r="48" spans="1:20">
      <c r="A48" s="97" t="s">
        <v>5886</v>
      </c>
      <c r="B48" s="97">
        <v>620</v>
      </c>
      <c r="C48" s="97">
        <v>8000</v>
      </c>
      <c r="D48" s="93">
        <f>C48*B49</f>
        <v>5760000</v>
      </c>
      <c r="J48" t="s">
        <v>25</v>
      </c>
    </row>
    <row r="49" spans="1:19">
      <c r="A49" s="97" t="s">
        <v>6503</v>
      </c>
      <c r="B49" s="97">
        <v>720</v>
      </c>
      <c r="C49" s="97">
        <v>0</v>
      </c>
      <c r="D49" s="93">
        <f>C49*B50</f>
        <v>0</v>
      </c>
    </row>
    <row r="50" spans="1:19">
      <c r="A50" s="97" t="s">
        <v>5876</v>
      </c>
      <c r="B50" s="97">
        <v>820</v>
      </c>
      <c r="C50" s="97"/>
      <c r="D50" s="93"/>
    </row>
    <row r="51" spans="1:19">
      <c r="A51" s="97"/>
      <c r="B51" s="97"/>
      <c r="C51" s="97"/>
      <c r="D51" s="93"/>
    </row>
    <row r="52" spans="1:19">
      <c r="A52" s="97"/>
      <c r="B52" s="97"/>
      <c r="C52" s="97"/>
      <c r="D52" s="93"/>
    </row>
    <row r="53" spans="1:19">
      <c r="A53" s="97"/>
      <c r="B53" s="97"/>
      <c r="C53" s="97"/>
      <c r="D53" s="93"/>
    </row>
    <row r="54" spans="1:19">
      <c r="A54" s="97"/>
      <c r="B54" s="97"/>
      <c r="C54" s="97"/>
      <c r="D54" s="93"/>
    </row>
    <row r="55" spans="1:19">
      <c r="A55" s="97"/>
      <c r="B55" s="97"/>
      <c r="C55" s="97"/>
      <c r="D55" s="93"/>
    </row>
    <row r="56" spans="1:19">
      <c r="A56" s="97"/>
      <c r="B56" s="97"/>
      <c r="C56" s="97"/>
      <c r="D56" s="93"/>
    </row>
    <row r="57" spans="1:19">
      <c r="A57" s="97"/>
      <c r="B57" s="97"/>
      <c r="C57" s="97" t="s">
        <v>25</v>
      </c>
      <c r="D57" s="93"/>
    </row>
    <row r="58" spans="1:19">
      <c r="A58" s="97"/>
      <c r="B58" s="97"/>
      <c r="C58" s="97"/>
      <c r="D58" s="93">
        <f>SUM(D47:D55)</f>
        <v>129140000</v>
      </c>
    </row>
    <row r="59" spans="1:19">
      <c r="A59" s="97"/>
      <c r="B59" s="97"/>
      <c r="C59" s="97"/>
      <c r="D59" s="97"/>
    </row>
    <row r="60" spans="1:19">
      <c r="A60" s="97"/>
      <c r="B60" s="97"/>
      <c r="C60" s="97"/>
      <c r="D60" s="97"/>
    </row>
    <row r="61" spans="1:19">
      <c r="A61" s="97" t="s">
        <v>6520</v>
      </c>
      <c r="B61" s="93">
        <v>88000000</v>
      </c>
      <c r="C61" s="97"/>
      <c r="D61" s="97"/>
    </row>
    <row r="62" spans="1:19">
      <c r="A62" s="97"/>
      <c r="B62" s="97"/>
      <c r="C62" s="97"/>
      <c r="D62" s="97"/>
    </row>
    <row r="63" spans="1:19">
      <c r="A63" s="97" t="s">
        <v>4595</v>
      </c>
      <c r="B63" s="93">
        <f>D58-B61</f>
        <v>41140000</v>
      </c>
      <c r="S63" s="94"/>
    </row>
    <row r="64" spans="1:19">
      <c r="A64" s="94"/>
      <c r="P64" s="94"/>
      <c r="Q64" s="94"/>
      <c r="R64" s="94"/>
      <c r="S64" s="94"/>
    </row>
    <row r="65" spans="1:20">
      <c r="A65" s="94"/>
      <c r="P65" s="94"/>
      <c r="Q65" s="94"/>
      <c r="R65" s="94"/>
      <c r="S65" s="94"/>
    </row>
    <row r="66" spans="1:20">
      <c r="A66" s="94"/>
      <c r="P66" s="94"/>
      <c r="Q66" s="94"/>
      <c r="R66" s="94"/>
      <c r="S66" s="94"/>
    </row>
    <row r="67" spans="1:20">
      <c r="A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0">
      <c r="A81" s="94"/>
      <c r="O81" s="94"/>
      <c r="P81" s="94"/>
      <c r="Q81" s="94"/>
      <c r="R81" s="94"/>
      <c r="S81" s="94"/>
      <c r="T81" s="94"/>
    </row>
    <row r="82" spans="1:20">
      <c r="A82" s="94"/>
      <c r="O82" s="94"/>
      <c r="P82" s="94"/>
      <c r="Q82" s="94"/>
      <c r="R82" s="94" t="s">
        <v>25</v>
      </c>
      <c r="S82" s="94"/>
      <c r="T82" s="94"/>
    </row>
    <row r="83" spans="1:20">
      <c r="A83" s="94"/>
      <c r="O83" s="94"/>
      <c r="P83" s="94"/>
      <c r="Q83" s="94"/>
      <c r="R83" s="94" t="s">
        <v>25</v>
      </c>
      <c r="S83" s="94"/>
      <c r="T83" s="94"/>
    </row>
    <row r="84" spans="1:20">
      <c r="A84" s="94"/>
      <c r="O84" s="94"/>
      <c r="P84" s="94"/>
      <c r="Q84" s="94"/>
      <c r="R84" s="94" t="s">
        <v>25</v>
      </c>
      <c r="S84" s="94" t="s">
        <v>25</v>
      </c>
      <c r="T84" s="94"/>
    </row>
    <row r="85" spans="1:20">
      <c r="A85" s="94"/>
      <c r="O85" s="94"/>
      <c r="P85" s="94"/>
      <c r="Q85" s="94"/>
      <c r="R85" s="94" t="s">
        <v>25</v>
      </c>
      <c r="S85" s="94" t="s">
        <v>25</v>
      </c>
      <c r="T85" s="94"/>
    </row>
    <row r="86" spans="1:20">
      <c r="A86" s="94"/>
      <c r="O86" s="94"/>
      <c r="P86" s="94"/>
      <c r="Q86" s="94"/>
      <c r="R86" s="94" t="s">
        <v>25</v>
      </c>
      <c r="S86" s="120" t="s">
        <v>25</v>
      </c>
      <c r="T86" s="94"/>
    </row>
    <row r="87" spans="1:20">
      <c r="A87" s="94"/>
      <c r="O87" s="94"/>
      <c r="P87" s="94" t="s">
        <v>25</v>
      </c>
      <c r="Q87" s="94" t="s">
        <v>25</v>
      </c>
      <c r="R87" s="94" t="s">
        <v>25</v>
      </c>
      <c r="S87" s="94" t="s">
        <v>25</v>
      </c>
      <c r="T87" s="94"/>
    </row>
    <row r="88" spans="1:20">
      <c r="O88" s="94" t="s">
        <v>25</v>
      </c>
      <c r="P88" s="94" t="s">
        <v>25</v>
      </c>
      <c r="Q88" s="94" t="s">
        <v>25</v>
      </c>
      <c r="R88" s="94" t="s">
        <v>25</v>
      </c>
      <c r="S88" s="94" t="s">
        <v>25</v>
      </c>
      <c r="T88" s="94"/>
    </row>
    <row r="89" spans="1:20">
      <c r="O89" s="94"/>
      <c r="P89" s="94"/>
      <c r="Q89" s="94" t="s">
        <v>25</v>
      </c>
      <c r="R89" s="112" t="s">
        <v>25</v>
      </c>
      <c r="S89" s="94"/>
      <c r="T89" s="94"/>
    </row>
    <row r="90" spans="1:20">
      <c r="O90" s="94"/>
      <c r="P90" s="94" t="s">
        <v>25</v>
      </c>
      <c r="Q90" s="94" t="s">
        <v>25</v>
      </c>
      <c r="R90" s="112" t="s">
        <v>25</v>
      </c>
      <c r="S90" s="94"/>
      <c r="T90" s="94"/>
    </row>
    <row r="91" spans="1:20">
      <c r="O91" s="94" t="s">
        <v>25</v>
      </c>
      <c r="P91" s="94" t="s">
        <v>25</v>
      </c>
      <c r="Q91" s="94" t="s">
        <v>25</v>
      </c>
      <c r="R91" s="112"/>
      <c r="S91" s="94"/>
      <c r="T91" s="94"/>
    </row>
    <row r="92" spans="1:20">
      <c r="O92" s="94" t="s">
        <v>25</v>
      </c>
      <c r="P92" s="94" t="s">
        <v>25</v>
      </c>
      <c r="Q92" s="94" t="s">
        <v>25</v>
      </c>
      <c r="R92" s="94"/>
      <c r="S92" s="94"/>
      <c r="T92" s="94"/>
    </row>
    <row r="93" spans="1:20">
      <c r="O93" s="94"/>
      <c r="P93" s="94" t="s">
        <v>25</v>
      </c>
      <c r="Q93" s="94"/>
      <c r="R93" s="94"/>
    </row>
    <row r="94" spans="1:20">
      <c r="O94" s="94"/>
      <c r="P94" s="94" t="s">
        <v>25</v>
      </c>
      <c r="Q94" s="94"/>
    </row>
    <row r="95" spans="1:20">
      <c r="O95" s="94"/>
      <c r="P95" s="94" t="s">
        <v>25</v>
      </c>
      <c r="Q95" s="94"/>
    </row>
    <row r="96" spans="1:20">
      <c r="O96" s="94"/>
      <c r="P96" s="94" t="s">
        <v>25</v>
      </c>
      <c r="Q96" s="94"/>
    </row>
    <row r="97" spans="15:27">
      <c r="O97" s="94"/>
      <c r="Z97" t="s">
        <v>25</v>
      </c>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row>
    <row r="108" spans="15:27">
      <c r="P108" t="s">
        <v>25</v>
      </c>
      <c r="Q108" t="s">
        <v>25</v>
      </c>
      <c r="Z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9" t="s">
        <v>5681</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5528</v>
      </c>
      <c r="R131" t="s">
        <v>25</v>
      </c>
    </row>
    <row r="132" spans="15:21">
      <c r="P132" s="94" t="s">
        <v>5529</v>
      </c>
      <c r="Q132" t="s">
        <v>25</v>
      </c>
      <c r="S132" t="s">
        <v>25</v>
      </c>
    </row>
    <row r="133" spans="15:21">
      <c r="P133" s="94" t="s">
        <v>5530</v>
      </c>
      <c r="Q133" t="s">
        <v>25</v>
      </c>
      <c r="R133" t="s">
        <v>25</v>
      </c>
    </row>
    <row r="134" spans="15:21">
      <c r="O134" t="s">
        <v>25</v>
      </c>
      <c r="P134" s="94" t="s">
        <v>5531</v>
      </c>
    </row>
    <row r="135" spans="15:21">
      <c r="P135" s="94" t="s">
        <v>5532</v>
      </c>
      <c r="R135" t="s">
        <v>25</v>
      </c>
    </row>
    <row r="136" spans="15:21">
      <c r="P136" s="94" t="s">
        <v>5533</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4">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38:K4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5877</v>
      </c>
      <c r="S1" t="s">
        <v>5878</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4933</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4968</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5002</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5041</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5044</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5065</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5067</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5071</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5073</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5074</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5076</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5079</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5119</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5127</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5130</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5131</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5134</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4927</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4930</v>
      </c>
      <c r="J132" s="233">
        <f t="shared" si="5"/>
        <v>1064287</v>
      </c>
      <c r="K132" s="232" t="s">
        <v>4928</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4933</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4934</v>
      </c>
      <c r="L134" s="82">
        <v>744280570</v>
      </c>
      <c r="M134" s="82">
        <v>440002399</v>
      </c>
      <c r="N134" s="212">
        <f t="shared" si="14"/>
        <v>1184282969</v>
      </c>
      <c r="O134" s="111">
        <f t="shared" si="13"/>
        <v>10396274</v>
      </c>
      <c r="P134" s="111">
        <f>N134-N133</f>
        <v>31854556</v>
      </c>
      <c r="Q134" s="218">
        <v>0</v>
      </c>
    </row>
    <row r="135" spans="9:30">
      <c r="I135" s="187" t="s">
        <v>4948</v>
      </c>
      <c r="J135" s="186">
        <f>L135-L134-1130250</f>
        <v>-410820</v>
      </c>
      <c r="K135" s="187" t="s">
        <v>4936</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4939</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4942</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4944</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4947</v>
      </c>
      <c r="J139" s="186">
        <f>L139-L138-206000</f>
        <v>15013287</v>
      </c>
      <c r="K139" s="187" t="s">
        <v>4946</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4952</v>
      </c>
      <c r="J140" s="233">
        <f>L140-L139-50000</f>
        <v>22852739</v>
      </c>
      <c r="K140" s="232" t="s">
        <v>4951</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4954</v>
      </c>
      <c r="L141" s="82">
        <v>788064769</v>
      </c>
      <c r="M141" s="82">
        <v>470434493</v>
      </c>
      <c r="N141" s="212">
        <f t="shared" si="14"/>
        <v>1258499262</v>
      </c>
      <c r="O141" s="111">
        <f t="shared" si="13"/>
        <v>9638295</v>
      </c>
      <c r="P141" s="111">
        <f>N141-N140</f>
        <v>23253284</v>
      </c>
      <c r="Q141" s="218">
        <v>0</v>
      </c>
    </row>
    <row r="142" spans="9:30">
      <c r="I142" s="187" t="s">
        <v>4957</v>
      </c>
      <c r="J142" s="186">
        <f>L142-L141-105000</f>
        <v>7274368</v>
      </c>
      <c r="K142" s="187" t="s">
        <v>4955</v>
      </c>
      <c r="L142" s="223">
        <v>795444137</v>
      </c>
      <c r="M142" s="223">
        <v>496046411</v>
      </c>
      <c r="N142" s="212">
        <f t="shared" si="14"/>
        <v>1291490548</v>
      </c>
      <c r="O142" s="186">
        <f>M142-M141-20000000</f>
        <v>5611918</v>
      </c>
      <c r="P142" s="186">
        <f>N142-N141-20105000</f>
        <v>12886286</v>
      </c>
      <c r="Q142" s="218">
        <v>20105000</v>
      </c>
    </row>
    <row r="143" spans="9:30">
      <c r="I143" s="246" t="s">
        <v>4963</v>
      </c>
      <c r="J143" s="247">
        <f>L143-L142+21285588</f>
        <v>17942685</v>
      </c>
      <c r="K143" s="246" t="s">
        <v>4959</v>
      </c>
      <c r="L143" s="248">
        <v>792101234</v>
      </c>
      <c r="M143" s="248">
        <v>504721695</v>
      </c>
      <c r="N143" s="212">
        <f t="shared" si="14"/>
        <v>1296822929</v>
      </c>
      <c r="O143" s="247">
        <f t="shared" si="13"/>
        <v>8675284</v>
      </c>
      <c r="P143" s="247">
        <f>N143-N142+21285588</f>
        <v>26617969</v>
      </c>
      <c r="Q143" s="218">
        <v>-21285588</v>
      </c>
    </row>
    <row r="144" spans="9:30">
      <c r="I144" s="246" t="s">
        <v>4964</v>
      </c>
      <c r="J144" s="247">
        <f>L144-L143+5949277</f>
        <v>6616903</v>
      </c>
      <c r="K144" s="246" t="s">
        <v>4960</v>
      </c>
      <c r="L144" s="248">
        <v>792768860</v>
      </c>
      <c r="M144" s="248">
        <v>507955566</v>
      </c>
      <c r="N144" s="212">
        <f t="shared" si="14"/>
        <v>1300724426</v>
      </c>
      <c r="O144" s="247">
        <f t="shared" si="13"/>
        <v>3233871</v>
      </c>
      <c r="P144" s="247">
        <f>N144-N143+5949277</f>
        <v>9850774</v>
      </c>
      <c r="Q144" s="218">
        <v>-5949277</v>
      </c>
    </row>
    <row r="145" spans="9:23" ht="30">
      <c r="I145" s="229" t="s">
        <v>4965</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4967</v>
      </c>
      <c r="J146" s="212">
        <f>L146-L145+15482124</f>
        <v>-6662026</v>
      </c>
      <c r="K146" s="211" t="s">
        <v>4966</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4968</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4969</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4970</v>
      </c>
      <c r="L149" s="82">
        <v>740819252</v>
      </c>
      <c r="M149" s="82">
        <v>470305993</v>
      </c>
      <c r="N149" s="111">
        <f t="shared" si="15"/>
        <v>1211125245</v>
      </c>
      <c r="O149" s="111">
        <f t="shared" si="17"/>
        <v>-1758760</v>
      </c>
      <c r="P149" s="111">
        <f t="shared" si="18"/>
        <v>-3863586</v>
      </c>
      <c r="Q149" s="218">
        <v>0</v>
      </c>
      <c r="V149" t="s">
        <v>25</v>
      </c>
    </row>
    <row r="150" spans="9:23">
      <c r="I150" s="187" t="s">
        <v>4973</v>
      </c>
      <c r="J150" s="186">
        <f t="shared" si="16"/>
        <v>19640187</v>
      </c>
      <c r="K150" s="187" t="s">
        <v>4972</v>
      </c>
      <c r="L150" s="223">
        <v>760459439</v>
      </c>
      <c r="M150" s="223">
        <v>480341526</v>
      </c>
      <c r="N150" s="186">
        <f t="shared" si="15"/>
        <v>1240800965</v>
      </c>
      <c r="O150" s="186">
        <f>M150-M149-2480000</f>
        <v>7555533</v>
      </c>
      <c r="P150" s="186">
        <f>N150-N149-2480000</f>
        <v>27195720</v>
      </c>
      <c r="Q150" s="218">
        <v>2480000</v>
      </c>
    </row>
    <row r="151" spans="9:23">
      <c r="I151" s="207" t="s">
        <v>4976</v>
      </c>
      <c r="J151" s="111">
        <f>L151-L150-10000000</f>
        <v>7047541</v>
      </c>
      <c r="K151" s="207" t="s">
        <v>4975</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4977</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4980</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4981</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4978</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4982</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4983</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4979</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4994</v>
      </c>
      <c r="J160" s="186">
        <f>L160-L159-1000000</f>
        <v>-11757327</v>
      </c>
      <c r="K160" s="187" t="s">
        <v>4993</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4995</v>
      </c>
      <c r="L161" s="82">
        <v>809787758</v>
      </c>
      <c r="M161" s="82">
        <v>508573621</v>
      </c>
      <c r="N161" s="111">
        <f t="shared" si="15"/>
        <v>1318361379</v>
      </c>
      <c r="O161" s="111">
        <f t="shared" si="19"/>
        <v>8266116</v>
      </c>
      <c r="P161" s="111">
        <f t="shared" si="20"/>
        <v>23567917</v>
      </c>
    </row>
    <row r="162" spans="9:18">
      <c r="I162" s="232" t="s">
        <v>4997</v>
      </c>
      <c r="J162" s="233">
        <f>L162-L161-40000</f>
        <v>22492792</v>
      </c>
      <c r="K162" s="232" t="s">
        <v>4996</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4999</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5003</v>
      </c>
      <c r="L164" s="82">
        <v>839851298</v>
      </c>
      <c r="M164" s="82">
        <v>524867809</v>
      </c>
      <c r="N164" s="111">
        <f t="shared" si="15"/>
        <v>1364719107</v>
      </c>
      <c r="O164" s="111">
        <f t="shared" si="19"/>
        <v>-5011363</v>
      </c>
      <c r="P164" s="111">
        <f t="shared" si="20"/>
        <v>-14640971</v>
      </c>
      <c r="Q164" s="218">
        <v>0</v>
      </c>
    </row>
    <row r="165" spans="9:18">
      <c r="I165" s="232" t="s">
        <v>5005</v>
      </c>
      <c r="J165" s="233">
        <f>L165-L164-120000</f>
        <v>-2216696</v>
      </c>
      <c r="K165" s="232" t="s">
        <v>5004</v>
      </c>
      <c r="L165" s="234">
        <v>837754602</v>
      </c>
      <c r="M165" s="234">
        <v>524141818</v>
      </c>
      <c r="N165" s="233">
        <f t="shared" si="15"/>
        <v>1361896420</v>
      </c>
      <c r="O165" s="233">
        <f>M165-M164-200000</f>
        <v>-925991</v>
      </c>
      <c r="P165" s="233">
        <f>N165-N164-320000</f>
        <v>-3142687</v>
      </c>
      <c r="Q165" s="218">
        <v>320000</v>
      </c>
    </row>
    <row r="166" spans="9:18">
      <c r="I166" s="232" t="s">
        <v>4927</v>
      </c>
      <c r="J166" s="233">
        <f t="shared" si="16"/>
        <v>-5830761</v>
      </c>
      <c r="K166" s="232" t="s">
        <v>5008</v>
      </c>
      <c r="L166" s="234">
        <v>831923841</v>
      </c>
      <c r="M166" s="234">
        <v>520741895</v>
      </c>
      <c r="N166" s="233">
        <f t="shared" si="15"/>
        <v>1352665736</v>
      </c>
      <c r="O166" s="233">
        <f>M166-M165-500000</f>
        <v>-3899923</v>
      </c>
      <c r="P166" s="233">
        <f>N166-N165-500000</f>
        <v>-9730684</v>
      </c>
      <c r="Q166" s="218">
        <v>500000</v>
      </c>
    </row>
    <row r="167" spans="9:18">
      <c r="I167" s="232" t="s">
        <v>4927</v>
      </c>
      <c r="J167" s="233">
        <f t="shared" si="16"/>
        <v>-22467551</v>
      </c>
      <c r="K167" s="232" t="s">
        <v>5010</v>
      </c>
      <c r="L167" s="234">
        <v>809456290</v>
      </c>
      <c r="M167" s="234">
        <v>509313372</v>
      </c>
      <c r="N167" s="233">
        <f t="shared" si="15"/>
        <v>1318769662</v>
      </c>
      <c r="O167" s="233">
        <f>M167-M166-500000</f>
        <v>-11928523</v>
      </c>
      <c r="P167" s="233">
        <f>N167-N166-500000</f>
        <v>-34396074</v>
      </c>
      <c r="Q167" s="218">
        <v>500000</v>
      </c>
    </row>
    <row r="168" spans="9:18">
      <c r="I168" s="232" t="s">
        <v>5011</v>
      </c>
      <c r="J168" s="233">
        <f>L168-L167-249000</f>
        <v>-15588738</v>
      </c>
      <c r="K168" s="232" t="s">
        <v>5001</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5012</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5015</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5023</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5024</v>
      </c>
      <c r="L173" s="82">
        <v>802082154</v>
      </c>
      <c r="M173" s="82">
        <v>508611485</v>
      </c>
      <c r="N173" s="111">
        <f t="shared" si="15"/>
        <v>1310693639</v>
      </c>
      <c r="O173" s="111">
        <f t="shared" si="19"/>
        <v>-117320</v>
      </c>
      <c r="P173" s="111">
        <f t="shared" si="20"/>
        <v>-4323075</v>
      </c>
      <c r="Q173" s="218">
        <v>0</v>
      </c>
      <c r="R173" t="s">
        <v>25</v>
      </c>
    </row>
    <row r="174" spans="9:18">
      <c r="I174" s="232" t="s">
        <v>5027</v>
      </c>
      <c r="J174" s="233">
        <f>L174-L173-65000</f>
        <v>5888390</v>
      </c>
      <c r="K174" s="232" t="s">
        <v>5026</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5032</v>
      </c>
      <c r="J176" s="230">
        <f>L176-L175+305807</f>
        <v>8668560</v>
      </c>
      <c r="K176" s="210" t="s">
        <v>5030</v>
      </c>
      <c r="L176" s="231">
        <v>816745622</v>
      </c>
      <c r="M176" s="231">
        <v>516127148</v>
      </c>
      <c r="N176" s="230">
        <f t="shared" si="15"/>
        <v>1332872770</v>
      </c>
      <c r="O176" s="230">
        <f>M176-M175+305807</f>
        <v>3691986</v>
      </c>
      <c r="P176" s="230">
        <f>N176-N175+611614</f>
        <v>12360546</v>
      </c>
      <c r="Q176" s="218">
        <v>-611614</v>
      </c>
    </row>
    <row r="177" spans="9:17">
      <c r="I177" s="150" t="s">
        <v>5033</v>
      </c>
      <c r="J177" s="230">
        <f>L177-L176+63348</f>
        <v>4837676</v>
      </c>
      <c r="K177" s="210" t="s">
        <v>5031</v>
      </c>
      <c r="L177" s="231">
        <v>821519950</v>
      </c>
      <c r="M177" s="231">
        <v>505943649</v>
      </c>
      <c r="N177" s="230">
        <f t="shared" si="15"/>
        <v>1327463599</v>
      </c>
      <c r="O177" s="230">
        <f>M177-M176+13076601</f>
        <v>2893102</v>
      </c>
      <c r="P177" s="230">
        <f>N177-N176+13139949</f>
        <v>7730778</v>
      </c>
      <c r="Q177" s="218">
        <v>-13139949</v>
      </c>
    </row>
    <row r="178" spans="9:17">
      <c r="I178" s="253" t="s">
        <v>5036</v>
      </c>
      <c r="J178" s="254">
        <f>L178-L177-50000</f>
        <v>30757186</v>
      </c>
      <c r="K178" s="253" t="s">
        <v>5035</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5002</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5041</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5044</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5045</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5050</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5051</v>
      </c>
      <c r="L184" s="82">
        <v>904707054</v>
      </c>
      <c r="M184" s="82">
        <v>557394961</v>
      </c>
      <c r="N184" s="111">
        <f t="shared" si="15"/>
        <v>1462102015</v>
      </c>
      <c r="O184" s="111">
        <f t="shared" si="19"/>
        <v>-6711498</v>
      </c>
      <c r="P184" s="111">
        <f t="shared" si="20"/>
        <v>-18369320</v>
      </c>
      <c r="Q184" s="218">
        <v>0</v>
      </c>
    </row>
    <row r="185" spans="9:17">
      <c r="I185" s="187" t="s">
        <v>5054</v>
      </c>
      <c r="J185" s="186">
        <f>L185-L184-200000</f>
        <v>15983884</v>
      </c>
      <c r="K185" s="187" t="s">
        <v>5052</v>
      </c>
      <c r="L185" s="223">
        <v>920890938</v>
      </c>
      <c r="M185" s="223">
        <v>566042468</v>
      </c>
      <c r="N185" s="186">
        <f t="shared" si="15"/>
        <v>1486933406</v>
      </c>
      <c r="O185" s="186">
        <f t="shared" si="19"/>
        <v>8647507</v>
      </c>
      <c r="P185" s="186">
        <f>N185-N184-200000</f>
        <v>24631391</v>
      </c>
      <c r="Q185" s="218">
        <v>200000</v>
      </c>
    </row>
    <row r="186" spans="9:17">
      <c r="I186" s="187" t="s">
        <v>5061</v>
      </c>
      <c r="J186" s="186">
        <f>L186-L185-30000</f>
        <v>1392982</v>
      </c>
      <c r="K186" s="187" t="s">
        <v>5055</v>
      </c>
      <c r="L186" s="223">
        <v>922313920</v>
      </c>
      <c r="M186" s="223">
        <v>567221668</v>
      </c>
      <c r="N186" s="186">
        <f t="shared" si="15"/>
        <v>1489535588</v>
      </c>
      <c r="O186" s="186">
        <f t="shared" si="19"/>
        <v>1179200</v>
      </c>
      <c r="P186" s="186">
        <f>N186-N185-30000</f>
        <v>2572182</v>
      </c>
      <c r="Q186" s="218">
        <v>30000</v>
      </c>
    </row>
    <row r="187" spans="9:17">
      <c r="I187" s="207" t="s">
        <v>5066</v>
      </c>
      <c r="J187" s="111">
        <f t="shared" si="16"/>
        <v>-1865454</v>
      </c>
      <c r="K187" s="207" t="s">
        <v>5065</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5067</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5014</v>
      </c>
      <c r="L189" s="82">
        <v>951067529</v>
      </c>
      <c r="M189" s="82">
        <v>596275041</v>
      </c>
      <c r="N189" s="212">
        <f t="shared" si="15"/>
        <v>1547342570</v>
      </c>
      <c r="O189" s="111">
        <f t="shared" si="19"/>
        <v>8603623</v>
      </c>
      <c r="P189" s="111">
        <f t="shared" si="20"/>
        <v>26700407</v>
      </c>
      <c r="Q189" s="218">
        <v>0</v>
      </c>
    </row>
    <row r="190" spans="9:17" ht="30">
      <c r="I190" s="252" t="s">
        <v>5072</v>
      </c>
      <c r="J190" s="186">
        <f>L190-L189+4000000</f>
        <v>-1393565</v>
      </c>
      <c r="K190" s="187" t="s">
        <v>5071</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5073</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5074</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5076</v>
      </c>
      <c r="L194" s="236">
        <v>901275329</v>
      </c>
      <c r="M194" s="236">
        <v>583098793</v>
      </c>
      <c r="N194" s="115">
        <f>L194+M194</f>
        <v>1484374122</v>
      </c>
      <c r="O194" s="115">
        <f t="shared" si="19"/>
        <v>-3486217</v>
      </c>
      <c r="P194" s="115">
        <f>N194-N193</f>
        <v>-18861608</v>
      </c>
      <c r="Q194" s="218">
        <v>0</v>
      </c>
    </row>
    <row r="195" spans="9:17">
      <c r="I195" s="187" t="s">
        <v>5081</v>
      </c>
      <c r="J195" s="186">
        <f>L195-L194-150000</f>
        <v>17593478</v>
      </c>
      <c r="K195" s="187" t="s">
        <v>5079</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5082</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5083</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5086</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5111</v>
      </c>
      <c r="L199" s="82">
        <v>992076311</v>
      </c>
      <c r="M199" s="82">
        <v>638214788</v>
      </c>
      <c r="N199" s="212">
        <f t="shared" si="15"/>
        <v>1630291099</v>
      </c>
      <c r="O199" s="111">
        <f t="shared" si="19"/>
        <v>470124</v>
      </c>
      <c r="P199" s="111">
        <f t="shared" si="20"/>
        <v>12547575</v>
      </c>
      <c r="Q199" s="218">
        <v>0</v>
      </c>
    </row>
    <row r="200" spans="9:17">
      <c r="I200" s="187" t="s">
        <v>5114</v>
      </c>
      <c r="J200" s="186">
        <f>L200-L199-400000</f>
        <v>-7612896</v>
      </c>
      <c r="K200" s="187" t="s">
        <v>5112</v>
      </c>
      <c r="L200" s="223">
        <v>984863415</v>
      </c>
      <c r="M200" s="223">
        <v>632226484</v>
      </c>
      <c r="N200" s="186">
        <f t="shared" si="15"/>
        <v>1617089899</v>
      </c>
      <c r="O200" s="186">
        <f t="shared" si="19"/>
        <v>-5988304</v>
      </c>
      <c r="P200" s="186">
        <f>N200-N199-400000</f>
        <v>-13601200</v>
      </c>
      <c r="Q200" s="218">
        <v>400000</v>
      </c>
    </row>
    <row r="201" spans="9:17">
      <c r="I201" s="210" t="s">
        <v>5117</v>
      </c>
      <c r="J201" s="230">
        <f>L201-L200+100000</f>
        <v>12509920</v>
      </c>
      <c r="K201" s="210" t="s">
        <v>5115</v>
      </c>
      <c r="L201" s="231">
        <v>997273335</v>
      </c>
      <c r="M201" s="231">
        <v>639479822</v>
      </c>
      <c r="N201" s="212">
        <f t="shared" si="15"/>
        <v>1636753157</v>
      </c>
      <c r="O201" s="230">
        <f t="shared" si="19"/>
        <v>7253338</v>
      </c>
      <c r="P201" s="230">
        <f>N201-N200+100000</f>
        <v>19763258</v>
      </c>
      <c r="Q201" s="218">
        <v>-100000</v>
      </c>
    </row>
    <row r="202" spans="9:17">
      <c r="I202" s="187" t="s">
        <v>5120</v>
      </c>
      <c r="J202" s="186">
        <f>L202-L201-10000000</f>
        <v>-2265988</v>
      </c>
      <c r="K202" s="187" t="s">
        <v>5119</v>
      </c>
      <c r="L202" s="223">
        <v>1005007347</v>
      </c>
      <c r="M202" s="223">
        <v>636084938</v>
      </c>
      <c r="N202" s="186">
        <f t="shared" si="15"/>
        <v>1641092285</v>
      </c>
      <c r="O202" s="186">
        <f t="shared" si="19"/>
        <v>-3394884</v>
      </c>
      <c r="P202" s="186">
        <f>N202-N201-10000000</f>
        <v>-5660872</v>
      </c>
      <c r="Q202" s="218">
        <v>10000000</v>
      </c>
    </row>
    <row r="203" spans="9:17">
      <c r="I203" s="210" t="s">
        <v>5125</v>
      </c>
      <c r="J203" s="230">
        <f>L203-L202+400000</f>
        <v>8061336</v>
      </c>
      <c r="K203" s="210" t="s">
        <v>5124</v>
      </c>
      <c r="L203" s="231">
        <v>1012668683</v>
      </c>
      <c r="M203" s="231">
        <v>641491326</v>
      </c>
      <c r="N203" s="212">
        <f t="shared" si="15"/>
        <v>1654160009</v>
      </c>
      <c r="O203" s="230">
        <f t="shared" si="19"/>
        <v>5406388</v>
      </c>
      <c r="P203" s="230">
        <f>N203-N202+400000</f>
        <v>13467724</v>
      </c>
      <c r="Q203" s="218">
        <v>-400000</v>
      </c>
    </row>
    <row r="204" spans="9:17">
      <c r="I204" s="210" t="s">
        <v>5126</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5127</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5130</v>
      </c>
      <c r="L206" s="82">
        <v>991102717</v>
      </c>
      <c r="M206" s="82">
        <v>623731041</v>
      </c>
      <c r="N206" s="111">
        <f t="shared" si="22"/>
        <v>1614833758</v>
      </c>
      <c r="O206" s="111">
        <f>M206-M205</f>
        <v>-2790917</v>
      </c>
      <c r="P206" s="111">
        <f>N206-N205</f>
        <v>-6391417</v>
      </c>
      <c r="Q206" s="218">
        <v>0</v>
      </c>
    </row>
    <row r="207" spans="9:17">
      <c r="I207" s="187" t="s">
        <v>5133</v>
      </c>
      <c r="J207" s="186">
        <f>L207-L206-1300000</f>
        <v>-17889835</v>
      </c>
      <c r="K207" s="187" t="s">
        <v>5131</v>
      </c>
      <c r="L207" s="223">
        <v>974512882</v>
      </c>
      <c r="M207" s="223">
        <v>611227725</v>
      </c>
      <c r="N207" s="186">
        <f t="shared" si="22"/>
        <v>1585740607</v>
      </c>
      <c r="O207" s="186">
        <f>M207-M206-230000</f>
        <v>-12733316</v>
      </c>
      <c r="P207" s="186">
        <f>N207-N206-1530000</f>
        <v>-30623151</v>
      </c>
      <c r="Q207" s="218">
        <v>1530000</v>
      </c>
    </row>
    <row r="208" spans="9:17">
      <c r="I208" s="210" t="s">
        <v>5135</v>
      </c>
      <c r="J208" s="230">
        <f>L208-L207-230000</f>
        <v>26666770</v>
      </c>
      <c r="K208" s="210" t="s">
        <v>5134</v>
      </c>
      <c r="L208" s="231">
        <v>1001409652</v>
      </c>
      <c r="M208" s="231">
        <v>627313031</v>
      </c>
      <c r="N208" s="230">
        <f t="shared" si="22"/>
        <v>1628722683</v>
      </c>
      <c r="O208" s="230">
        <f>M208-M207+880000</f>
        <v>16965306</v>
      </c>
      <c r="P208" s="230">
        <f>N208-N207</f>
        <v>42982076</v>
      </c>
      <c r="Q208" s="218">
        <v>-650000</v>
      </c>
    </row>
    <row r="209" spans="9:19">
      <c r="I209" s="187" t="s">
        <v>5136</v>
      </c>
      <c r="J209" s="186">
        <f>L209-L208-880000</f>
        <v>38363123</v>
      </c>
      <c r="K209" s="187" t="s">
        <v>5137</v>
      </c>
      <c r="L209" s="223">
        <v>1040652775</v>
      </c>
      <c r="M209" s="223">
        <v>653526288</v>
      </c>
      <c r="N209" s="212">
        <f t="shared" si="22"/>
        <v>1694179063</v>
      </c>
      <c r="O209" s="186">
        <f>M209-M208</f>
        <v>26213257</v>
      </c>
      <c r="P209" s="186">
        <f>N209-N208-880000</f>
        <v>64576380</v>
      </c>
      <c r="Q209" s="218">
        <v>880000</v>
      </c>
    </row>
    <row r="210" spans="9:19">
      <c r="I210" s="210" t="s">
        <v>5139</v>
      </c>
      <c r="J210" s="230">
        <f>L210-L209+900000</f>
        <v>20298534</v>
      </c>
      <c r="K210" s="210" t="s">
        <v>5138</v>
      </c>
      <c r="L210" s="231">
        <v>1060051309</v>
      </c>
      <c r="M210" s="231">
        <v>663872836</v>
      </c>
      <c r="N210" s="212">
        <f t="shared" si="22"/>
        <v>1723924145</v>
      </c>
      <c r="O210" s="230">
        <f>M210-M209-200000</f>
        <v>10146548</v>
      </c>
      <c r="P210" s="230">
        <f>N210-N209+700000</f>
        <v>30445082</v>
      </c>
      <c r="Q210" s="218">
        <v>-700000</v>
      </c>
    </row>
    <row r="211" spans="9:19">
      <c r="I211" s="187" t="s">
        <v>5140</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5141</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5142</v>
      </c>
      <c r="J213" s="111">
        <f>L213-L212+800000</f>
        <v>15351721</v>
      </c>
      <c r="K213" s="207" t="s">
        <v>5143</v>
      </c>
      <c r="L213" s="82">
        <v>1017597520</v>
      </c>
      <c r="M213" s="82">
        <v>638870084</v>
      </c>
      <c r="N213" s="111">
        <f t="shared" si="22"/>
        <v>1656467604</v>
      </c>
      <c r="O213" s="111">
        <f>M213-M212+10000000</f>
        <v>14214313</v>
      </c>
      <c r="P213" s="111">
        <f>N213-N212+10800000</f>
        <v>29566034</v>
      </c>
      <c r="Q213" s="218">
        <v>-10800000</v>
      </c>
    </row>
    <row r="214" spans="9:19">
      <c r="I214" s="210" t="s">
        <v>5149</v>
      </c>
      <c r="J214" s="230">
        <f t="shared" si="21"/>
        <v>-18127600</v>
      </c>
      <c r="K214" s="210" t="s">
        <v>5145</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5150</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5152</v>
      </c>
      <c r="J217" s="230">
        <f>L217-L216-50000</f>
        <v>-3947893</v>
      </c>
      <c r="K217" s="210" t="s">
        <v>5151</v>
      </c>
      <c r="L217" s="231">
        <v>1010326365</v>
      </c>
      <c r="M217" s="231">
        <v>632690003</v>
      </c>
      <c r="N217" s="230">
        <f t="shared" si="23"/>
        <v>1643016368</v>
      </c>
      <c r="O217" s="230">
        <f t="shared" si="24"/>
        <v>-2811879</v>
      </c>
      <c r="P217" s="230">
        <f>N217-N216-50000</f>
        <v>-6759772</v>
      </c>
      <c r="Q217" s="218">
        <v>50000</v>
      </c>
    </row>
    <row r="218" spans="9:19">
      <c r="I218" s="210" t="s">
        <v>5154</v>
      </c>
      <c r="J218" s="230">
        <f>L218-L217-400000</f>
        <v>-7352281</v>
      </c>
      <c r="K218" s="210" t="s">
        <v>5156</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5158</v>
      </c>
      <c r="L219" s="82">
        <v>999517682</v>
      </c>
      <c r="M219" s="82">
        <v>627640361</v>
      </c>
      <c r="N219" s="111">
        <f t="shared" si="23"/>
        <v>1627158043</v>
      </c>
      <c r="O219" s="111">
        <f t="shared" si="24"/>
        <v>-1762209</v>
      </c>
      <c r="P219" s="111">
        <f t="shared" si="25"/>
        <v>-5618611</v>
      </c>
      <c r="Q219" s="218">
        <v>0</v>
      </c>
    </row>
    <row r="220" spans="9:19">
      <c r="I220" s="187" t="s">
        <v>5160</v>
      </c>
      <c r="J220" s="186">
        <f t="shared" si="21"/>
        <v>30762624</v>
      </c>
      <c r="K220" s="187" t="s">
        <v>5159</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5129</v>
      </c>
      <c r="L221" s="82">
        <v>1013932649</v>
      </c>
      <c r="M221" s="82">
        <v>635152182</v>
      </c>
      <c r="N221" s="111">
        <f t="shared" si="23"/>
        <v>1649084831</v>
      </c>
      <c r="O221" s="111">
        <f t="shared" si="24"/>
        <v>-10386048</v>
      </c>
      <c r="P221" s="111">
        <f t="shared" si="25"/>
        <v>-26733705</v>
      </c>
      <c r="Q221" s="218">
        <v>0</v>
      </c>
    </row>
    <row r="222" spans="9:19">
      <c r="I222" s="257" t="s">
        <v>5164</v>
      </c>
      <c r="J222" s="258">
        <f>L222-L221+7000000</f>
        <v>4431891</v>
      </c>
      <c r="K222" s="257" t="s">
        <v>5165</v>
      </c>
      <c r="L222" s="259">
        <v>1011364540</v>
      </c>
      <c r="M222" s="259">
        <v>634014280</v>
      </c>
      <c r="N222" s="258">
        <f t="shared" si="23"/>
        <v>1645378820</v>
      </c>
      <c r="O222" s="258">
        <f t="shared" si="24"/>
        <v>-1137902</v>
      </c>
      <c r="P222" s="258">
        <f>N222-N221+7000000</f>
        <v>3293989</v>
      </c>
      <c r="Q222" s="218">
        <v>-7000000</v>
      </c>
    </row>
    <row r="223" spans="9:19">
      <c r="I223" s="210" t="s">
        <v>5167</v>
      </c>
      <c r="J223" s="230">
        <f t="shared" si="21"/>
        <v>-12364540</v>
      </c>
      <c r="K223" s="210" t="s">
        <v>5166</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5168</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5169</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5170</v>
      </c>
      <c r="L226" s="82">
        <v>995000000</v>
      </c>
      <c r="M226" s="82">
        <v>625000000</v>
      </c>
      <c r="N226" s="111">
        <f t="shared" si="23"/>
        <v>1620000000</v>
      </c>
      <c r="O226" s="111">
        <f t="shared" si="24"/>
        <v>-2621912</v>
      </c>
      <c r="P226" s="111">
        <f t="shared" si="25"/>
        <v>-8262288</v>
      </c>
      <c r="Q226" s="218">
        <v>0</v>
      </c>
    </row>
    <row r="227" spans="9:19">
      <c r="I227" s="187" t="s">
        <v>5171</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5173</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5174</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5175</v>
      </c>
      <c r="L230" s="82">
        <v>981346829</v>
      </c>
      <c r="M230" s="82">
        <v>616768631</v>
      </c>
      <c r="N230" s="111">
        <f>L230+M230</f>
        <v>1598115460</v>
      </c>
      <c r="O230" s="111">
        <f t="shared" si="24"/>
        <v>-231369</v>
      </c>
      <c r="P230" s="111">
        <f t="shared" si="25"/>
        <v>-2584540</v>
      </c>
      <c r="Q230" s="218">
        <v>0</v>
      </c>
    </row>
    <row r="231" spans="9:19">
      <c r="I231" s="187" t="s">
        <v>5177</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5176</v>
      </c>
      <c r="L232" s="82">
        <v>982764273</v>
      </c>
      <c r="M232" s="82">
        <v>618232370</v>
      </c>
      <c r="N232" s="111">
        <f t="shared" si="23"/>
        <v>1600996643</v>
      </c>
      <c r="O232" s="111">
        <f t="shared" si="24"/>
        <v>9817180</v>
      </c>
      <c r="P232" s="111">
        <f t="shared" si="25"/>
        <v>27833689</v>
      </c>
      <c r="Q232" s="218">
        <v>0</v>
      </c>
    </row>
    <row r="233" spans="9:19">
      <c r="I233" s="187" t="s">
        <v>5179</v>
      </c>
      <c r="J233" s="186">
        <f>L233-L232+990760</f>
        <v>270597</v>
      </c>
      <c r="K233" s="187" t="s">
        <v>5178</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5180</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5181</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5184</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5185</v>
      </c>
      <c r="L237" s="82">
        <v>973935836</v>
      </c>
      <c r="M237" s="82">
        <v>612781866</v>
      </c>
      <c r="N237" s="111">
        <f t="shared" si="23"/>
        <v>1586717702</v>
      </c>
      <c r="O237" s="111">
        <f t="shared" si="24"/>
        <v>-4703074</v>
      </c>
      <c r="P237" s="111">
        <f t="shared" si="25"/>
        <v>-14274043</v>
      </c>
      <c r="Q237" s="218">
        <v>0</v>
      </c>
    </row>
    <row r="238" spans="9:19">
      <c r="I238" s="210" t="s">
        <v>5187</v>
      </c>
      <c r="J238" s="230">
        <f>L238-L237-101268</f>
        <v>10034013</v>
      </c>
      <c r="K238" s="210" t="s">
        <v>5186</v>
      </c>
      <c r="L238" s="231">
        <v>984071117</v>
      </c>
      <c r="M238" s="231">
        <v>619527192</v>
      </c>
      <c r="N238" s="230">
        <f t="shared" si="23"/>
        <v>1603598309</v>
      </c>
      <c r="O238" s="230">
        <f t="shared" si="24"/>
        <v>6745326</v>
      </c>
      <c r="P238" s="230">
        <f>N238-N237-101268</f>
        <v>16779339</v>
      </c>
      <c r="Q238" s="218">
        <v>101268</v>
      </c>
    </row>
    <row r="239" spans="9:19">
      <c r="I239" s="260" t="s">
        <v>5188</v>
      </c>
      <c r="J239" s="92">
        <f>L239-L238-101000</f>
        <v>-5512506</v>
      </c>
      <c r="K239" s="260" t="s">
        <v>5189</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5190</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5192</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5194</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5195</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5196</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5199</v>
      </c>
      <c r="L246" s="82">
        <v>998587209</v>
      </c>
      <c r="M246" s="82">
        <v>628989460</v>
      </c>
      <c r="N246" s="111">
        <f t="shared" si="27"/>
        <v>1627576669</v>
      </c>
      <c r="O246" s="111">
        <f t="shared" si="28"/>
        <v>-386804</v>
      </c>
      <c r="P246" s="111">
        <f t="shared" si="28"/>
        <v>-378799</v>
      </c>
      <c r="Q246" s="218">
        <v>0</v>
      </c>
    </row>
    <row r="247" spans="9:19">
      <c r="I247" s="187" t="s">
        <v>5201</v>
      </c>
      <c r="J247" s="186">
        <f t="shared" si="26"/>
        <v>57939414</v>
      </c>
      <c r="K247" s="187" t="s">
        <v>5200</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5202</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5203</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5204</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5205</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5206</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5207</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5208</v>
      </c>
      <c r="L255" s="82">
        <v>1154946925</v>
      </c>
      <c r="M255" s="82">
        <v>724493233</v>
      </c>
      <c r="N255" s="212">
        <f t="shared" si="31"/>
        <v>1879440158</v>
      </c>
      <c r="O255" s="111">
        <f t="shared" si="32"/>
        <v>3771085</v>
      </c>
      <c r="P255" s="111">
        <f t="shared" si="33"/>
        <v>9561690</v>
      </c>
      <c r="Q255" s="218">
        <v>0</v>
      </c>
    </row>
    <row r="256" spans="9:19">
      <c r="I256" s="207" t="s">
        <v>5209</v>
      </c>
      <c r="J256" s="111">
        <f t="shared" si="30"/>
        <v>40761008</v>
      </c>
      <c r="K256" s="207" t="s">
        <v>5210</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5212</v>
      </c>
      <c r="L257" s="82">
        <v>1204397532</v>
      </c>
      <c r="M257" s="82">
        <v>768290500</v>
      </c>
      <c r="N257" s="212">
        <f t="shared" si="31"/>
        <v>1972688032</v>
      </c>
      <c r="O257" s="111">
        <f t="shared" si="32"/>
        <v>4065339</v>
      </c>
      <c r="P257" s="111">
        <f t="shared" si="33"/>
        <v>12754938</v>
      </c>
      <c r="Q257" s="218">
        <v>0</v>
      </c>
    </row>
    <row r="258" spans="9:19">
      <c r="I258" s="187" t="s">
        <v>5215</v>
      </c>
      <c r="J258" s="186">
        <f>L258-L257+488602</f>
        <v>5275127</v>
      </c>
      <c r="K258" s="187" t="s">
        <v>5213</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5214</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5217</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5222</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5228</v>
      </c>
      <c r="L262" s="82">
        <v>1153433035</v>
      </c>
      <c r="M262" s="82">
        <v>736240181</v>
      </c>
      <c r="N262" s="111">
        <f t="shared" si="31"/>
        <v>1889673216</v>
      </c>
      <c r="O262" s="111">
        <f t="shared" si="32"/>
        <v>-19759819</v>
      </c>
      <c r="P262" s="111">
        <f t="shared" si="33"/>
        <v>-46326784</v>
      </c>
      <c r="Q262" s="218">
        <v>0</v>
      </c>
    </row>
    <row r="263" spans="9:19">
      <c r="I263" s="210" t="s">
        <v>5230</v>
      </c>
      <c r="J263" s="230">
        <f>L263-L262-360000</f>
        <v>-33793035</v>
      </c>
      <c r="K263" s="210" t="s">
        <v>5229</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5231</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5234</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5235</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5236</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5239</v>
      </c>
      <c r="J268" s="186">
        <f>L268-L267+3600000</f>
        <v>6784521</v>
      </c>
      <c r="K268" s="187" t="s">
        <v>5237</v>
      </c>
      <c r="L268" s="223">
        <v>1227517149</v>
      </c>
      <c r="M268" s="223">
        <v>781946723</v>
      </c>
      <c r="N268" s="212">
        <f>L268+M268</f>
        <v>2009463872</v>
      </c>
      <c r="O268" s="186">
        <f t="shared" si="36"/>
        <v>648802</v>
      </c>
      <c r="P268" s="186">
        <f>N268-N267+3600000</f>
        <v>7433323</v>
      </c>
      <c r="Q268" s="218">
        <v>-3600000</v>
      </c>
    </row>
    <row r="269" spans="9:19">
      <c r="I269" s="210" t="s">
        <v>5241</v>
      </c>
      <c r="J269" s="230">
        <f t="shared" si="34"/>
        <v>8668842</v>
      </c>
      <c r="K269" s="210" t="s">
        <v>5238</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5243</v>
      </c>
      <c r="L270" s="82">
        <v>1295586377</v>
      </c>
      <c r="M270" s="82">
        <v>830602955</v>
      </c>
      <c r="N270" s="212">
        <f t="shared" si="35"/>
        <v>2126189332</v>
      </c>
      <c r="O270" s="111">
        <f t="shared" si="36"/>
        <v>39667491</v>
      </c>
      <c r="P270" s="111">
        <f>N270-N269</f>
        <v>99067877</v>
      </c>
      <c r="Q270" s="218">
        <v>0</v>
      </c>
    </row>
    <row r="271" spans="9:19">
      <c r="I271" s="187" t="s">
        <v>5245</v>
      </c>
      <c r="J271" s="186">
        <f>L271-L270+1000000</f>
        <v>21062163</v>
      </c>
      <c r="K271" s="187" t="s">
        <v>5244</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5247</v>
      </c>
      <c r="L272" s="82">
        <v>1290000000</v>
      </c>
      <c r="M272" s="82">
        <v>830000000</v>
      </c>
      <c r="N272" s="111">
        <f t="shared" si="35"/>
        <v>2120000000</v>
      </c>
      <c r="O272" s="111">
        <f t="shared" si="36"/>
        <v>-7889920</v>
      </c>
      <c r="P272" s="111">
        <f>N272-N271</f>
        <v>-33538460</v>
      </c>
    </row>
    <row r="273" spans="4:23">
      <c r="I273" s="207"/>
      <c r="J273" s="111">
        <f t="shared" si="34"/>
        <v>5173477</v>
      </c>
      <c r="K273" s="207" t="s">
        <v>5250</v>
      </c>
      <c r="L273" s="82">
        <v>1295173477</v>
      </c>
      <c r="M273" s="82">
        <v>832119130</v>
      </c>
      <c r="N273" s="111">
        <f t="shared" si="35"/>
        <v>2127292607</v>
      </c>
      <c r="O273" s="111">
        <f t="shared" si="36"/>
        <v>2119130</v>
      </c>
      <c r="P273" s="111">
        <f>N273-N272</f>
        <v>7292607</v>
      </c>
    </row>
    <row r="274" spans="4:23">
      <c r="D274" t="s">
        <v>25</v>
      </c>
      <c r="I274" s="210" t="s">
        <v>5230</v>
      </c>
      <c r="J274" s="230">
        <f>L274-L273-360000</f>
        <v>-3379409</v>
      </c>
      <c r="K274" s="210" t="s">
        <v>5251</v>
      </c>
      <c r="L274" s="231">
        <v>1292154068</v>
      </c>
      <c r="M274" s="231">
        <v>833033746</v>
      </c>
      <c r="N274" s="230">
        <f t="shared" si="35"/>
        <v>2125187814</v>
      </c>
      <c r="O274" s="230">
        <f t="shared" si="36"/>
        <v>914616</v>
      </c>
      <c r="P274" s="230">
        <f>N274-N273-360000</f>
        <v>-2464793</v>
      </c>
      <c r="Q274" s="218">
        <v>360000</v>
      </c>
    </row>
    <row r="275" spans="4:23">
      <c r="I275" s="210" t="s">
        <v>5255</v>
      </c>
      <c r="J275" s="230">
        <f>L275-L274-2000000</f>
        <v>-22946012</v>
      </c>
      <c r="K275" s="210" t="s">
        <v>5254</v>
      </c>
      <c r="L275" s="231">
        <v>1271208056</v>
      </c>
      <c r="M275" s="231">
        <v>825161254</v>
      </c>
      <c r="N275" s="230">
        <f t="shared" si="35"/>
        <v>2096369310</v>
      </c>
      <c r="O275" s="230">
        <f t="shared" si="36"/>
        <v>-7872492</v>
      </c>
      <c r="P275" s="230">
        <f>N275-N274-2000000</f>
        <v>-30818504</v>
      </c>
      <c r="Q275" s="218">
        <v>2000000</v>
      </c>
    </row>
    <row r="276" spans="4:23">
      <c r="I276" s="210" t="s">
        <v>5257</v>
      </c>
      <c r="J276" s="230">
        <f>L276-L275-15300000</f>
        <v>32802006</v>
      </c>
      <c r="K276" s="210" t="s">
        <v>5256</v>
      </c>
      <c r="L276" s="231">
        <v>1319310062</v>
      </c>
      <c r="M276" s="231">
        <v>846171439</v>
      </c>
      <c r="N276" s="230">
        <f t="shared" si="35"/>
        <v>2165481501</v>
      </c>
      <c r="O276" s="230">
        <f>M276-M275-200000</f>
        <v>20810185</v>
      </c>
      <c r="P276" s="230">
        <f>N276-N275-15500000</f>
        <v>53612191</v>
      </c>
      <c r="Q276" s="218">
        <v>15500000</v>
      </c>
    </row>
    <row r="277" spans="4:23">
      <c r="I277" s="210" t="s">
        <v>5260</v>
      </c>
      <c r="J277" s="230">
        <f>L277-L276-3000000</f>
        <v>12429762</v>
      </c>
      <c r="K277" s="210" t="s">
        <v>5259</v>
      </c>
      <c r="L277" s="231">
        <v>1334739824</v>
      </c>
      <c r="M277" s="231">
        <v>848815156</v>
      </c>
      <c r="N277" s="212">
        <f t="shared" si="35"/>
        <v>2183554980</v>
      </c>
      <c r="O277" s="230">
        <f>M277-M276-50000</f>
        <v>2593717</v>
      </c>
      <c r="P277" s="230">
        <f>N277-N276-3050000</f>
        <v>15023479</v>
      </c>
      <c r="Q277" s="218">
        <v>3050000</v>
      </c>
    </row>
    <row r="278" spans="4:23">
      <c r="I278" s="210" t="s">
        <v>5262</v>
      </c>
      <c r="J278" s="230">
        <f>L278-L277-1680000</f>
        <v>-15903030</v>
      </c>
      <c r="K278" s="210" t="s">
        <v>5261</v>
      </c>
      <c r="L278" s="231">
        <v>1320516794</v>
      </c>
      <c r="M278" s="231">
        <v>834312363</v>
      </c>
      <c r="N278" s="230">
        <f t="shared" si="35"/>
        <v>2154829157</v>
      </c>
      <c r="O278" s="230">
        <f>M278-M277-100000</f>
        <v>-14602793</v>
      </c>
      <c r="P278" s="230">
        <f>N278-N277-1600000</f>
        <v>-30325823</v>
      </c>
      <c r="Q278" s="218">
        <v>1780000</v>
      </c>
      <c r="S278" t="s">
        <v>25</v>
      </c>
    </row>
    <row r="279" spans="4:23">
      <c r="I279" s="210" t="s">
        <v>5264</v>
      </c>
      <c r="J279" s="230">
        <f>L279-L278-30000000</f>
        <v>3387493</v>
      </c>
      <c r="K279" s="210" t="s">
        <v>5263</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5269</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5270</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5273</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5276</v>
      </c>
      <c r="L284" s="82">
        <v>1473439379</v>
      </c>
      <c r="M284" s="82">
        <v>906774030</v>
      </c>
      <c r="N284" s="212">
        <f t="shared" si="38"/>
        <v>2380213409</v>
      </c>
      <c r="O284" s="111">
        <f t="shared" si="39"/>
        <v>14380845</v>
      </c>
      <c r="P284" s="111">
        <f t="shared" si="40"/>
        <v>32061881</v>
      </c>
      <c r="Q284" s="218">
        <v>0</v>
      </c>
    </row>
    <row r="285" spans="4:23">
      <c r="I285" s="187" t="s">
        <v>5279</v>
      </c>
      <c r="J285" s="186">
        <f t="shared" si="37"/>
        <v>4331396</v>
      </c>
      <c r="K285" s="187" t="s">
        <v>5277</v>
      </c>
      <c r="L285" s="223">
        <v>1477770775</v>
      </c>
      <c r="M285" s="223">
        <v>915475851</v>
      </c>
      <c r="N285" s="212">
        <f t="shared" si="38"/>
        <v>2393246626</v>
      </c>
      <c r="O285" s="186">
        <f>M285-M284+550000</f>
        <v>9251821</v>
      </c>
      <c r="P285" s="186">
        <f>N285-N284+550000</f>
        <v>13583217</v>
      </c>
      <c r="Q285" s="218">
        <v>-550000</v>
      </c>
    </row>
    <row r="286" spans="4:23">
      <c r="I286" s="187" t="s">
        <v>5283</v>
      </c>
      <c r="J286" s="186">
        <f t="shared" si="37"/>
        <v>39081054</v>
      </c>
      <c r="K286" s="187" t="s">
        <v>5281</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5282</v>
      </c>
      <c r="L287" s="82">
        <v>1560436105</v>
      </c>
      <c r="M287" s="82">
        <v>940791901</v>
      </c>
      <c r="N287" s="212">
        <f t="shared" si="38"/>
        <v>2501228006</v>
      </c>
      <c r="O287" s="111">
        <f t="shared" si="39"/>
        <v>35665189</v>
      </c>
      <c r="P287" s="111">
        <f t="shared" si="40"/>
        <v>79249465</v>
      </c>
      <c r="Q287" s="218">
        <v>0</v>
      </c>
    </row>
    <row r="288" spans="4:23">
      <c r="I288" s="187" t="s">
        <v>5291</v>
      </c>
      <c r="J288" s="186">
        <f t="shared" si="37"/>
        <v>83455296</v>
      </c>
      <c r="K288" s="187" t="s">
        <v>5290</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5293</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5297</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5303</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5312</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5335</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5334</v>
      </c>
      <c r="L294" s="82">
        <v>1775456973</v>
      </c>
      <c r="M294" s="82">
        <v>1056375788</v>
      </c>
      <c r="N294" s="212">
        <f t="shared" si="38"/>
        <v>2831832761</v>
      </c>
      <c r="O294" s="111">
        <f t="shared" si="39"/>
        <v>11375788</v>
      </c>
      <c r="P294" s="111">
        <f t="shared" si="40"/>
        <v>26832761</v>
      </c>
      <c r="Q294" s="218">
        <v>0</v>
      </c>
    </row>
    <row r="295" spans="9:21">
      <c r="I295" s="207" t="s">
        <v>5340</v>
      </c>
      <c r="J295" s="111">
        <f>L295-L294-3000000</f>
        <v>19422686</v>
      </c>
      <c r="K295" s="207" t="s">
        <v>5338</v>
      </c>
      <c r="L295" s="82">
        <v>1797879659</v>
      </c>
      <c r="M295" s="82">
        <v>1054864328</v>
      </c>
      <c r="N295" s="212">
        <f t="shared" si="38"/>
        <v>2852743987</v>
      </c>
      <c r="O295" s="111">
        <f t="shared" si="39"/>
        <v>-1511460</v>
      </c>
      <c r="P295" s="111">
        <f>N295-N294-3000000</f>
        <v>17911226</v>
      </c>
      <c r="Q295" s="218">
        <v>3000000</v>
      </c>
    </row>
    <row r="296" spans="9:21">
      <c r="I296" s="210" t="s">
        <v>5341</v>
      </c>
      <c r="J296" s="230">
        <f>L296-L295-7000000</f>
        <v>-47124934</v>
      </c>
      <c r="K296" s="210" t="s">
        <v>5339</v>
      </c>
      <c r="L296" s="231">
        <v>1757754725</v>
      </c>
      <c r="M296" s="231">
        <v>1037677810</v>
      </c>
      <c r="N296" s="230">
        <f t="shared" si="38"/>
        <v>2795432535</v>
      </c>
      <c r="O296" s="230">
        <f>M296-M295+4190000</f>
        <v>-12996518</v>
      </c>
      <c r="P296" s="230">
        <f>N296-N295+4190000-7000000</f>
        <v>-60121452</v>
      </c>
      <c r="Q296" s="218">
        <v>2810000</v>
      </c>
    </row>
    <row r="297" spans="9:21">
      <c r="I297" s="210" t="s">
        <v>5350</v>
      </c>
      <c r="J297" s="230">
        <f t="shared" si="37"/>
        <v>-53501669</v>
      </c>
      <c r="K297" s="210" t="s">
        <v>5343</v>
      </c>
      <c r="L297" s="231">
        <v>1704253056</v>
      </c>
      <c r="M297" s="231">
        <v>973497834</v>
      </c>
      <c r="N297" s="230">
        <f t="shared" si="38"/>
        <v>2677750890</v>
      </c>
      <c r="O297" s="230">
        <f>M297-M296+26000000</f>
        <v>-38179976</v>
      </c>
      <c r="P297" s="230">
        <f>N297-N296+26000000</f>
        <v>-91681645</v>
      </c>
      <c r="Q297" s="218">
        <v>-26000000</v>
      </c>
    </row>
    <row r="298" spans="9:21">
      <c r="I298" s="210" t="s">
        <v>5352</v>
      </c>
      <c r="J298" s="230">
        <f>L298-L297-8800000</f>
        <v>26691445</v>
      </c>
      <c r="K298" s="210" t="s">
        <v>5348</v>
      </c>
      <c r="L298" s="231">
        <v>1739744501</v>
      </c>
      <c r="M298" s="231">
        <v>914540569</v>
      </c>
      <c r="N298" s="230">
        <f t="shared" si="38"/>
        <v>2654285070</v>
      </c>
      <c r="O298" s="230">
        <f>M298-M297+81800000</f>
        <v>22842735</v>
      </c>
      <c r="P298" s="230">
        <f>N298-N297+73000000</f>
        <v>49534180</v>
      </c>
      <c r="Q298" s="218">
        <v>-73000000</v>
      </c>
    </row>
    <row r="299" spans="9:21">
      <c r="I299" s="210" t="s">
        <v>5355</v>
      </c>
      <c r="J299" s="230">
        <f t="shared" si="37"/>
        <v>32696702</v>
      </c>
      <c r="K299" s="210" t="s">
        <v>5349</v>
      </c>
      <c r="L299" s="231">
        <v>1772441203</v>
      </c>
      <c r="M299" s="231">
        <v>900025831</v>
      </c>
      <c r="N299" s="230">
        <f t="shared" si="38"/>
        <v>2672467034</v>
      </c>
      <c r="O299" s="230">
        <f>M299-M298+34000000</f>
        <v>19485262</v>
      </c>
      <c r="P299" s="230">
        <f>N299-N298+34000000</f>
        <v>52181964</v>
      </c>
      <c r="Q299" s="218">
        <v>-34000000</v>
      </c>
    </row>
    <row r="300" spans="9:21">
      <c r="I300" s="187" t="s">
        <v>5357</v>
      </c>
      <c r="J300" s="186">
        <f>L300-L299-40000000</f>
        <v>74215198</v>
      </c>
      <c r="K300" s="187" t="s">
        <v>5353</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5167</v>
      </c>
      <c r="J301" s="186">
        <f t="shared" si="37"/>
        <v>39912599</v>
      </c>
      <c r="K301" s="187" t="s">
        <v>5354</v>
      </c>
      <c r="L301" s="223">
        <v>1926569000</v>
      </c>
      <c r="M301" s="223">
        <v>959442000</v>
      </c>
      <c r="N301" s="212">
        <f t="shared" si="38"/>
        <v>2886011000</v>
      </c>
      <c r="O301" s="186">
        <f>M301-M300-300000</f>
        <v>21646377</v>
      </c>
      <c r="P301" s="186">
        <f>N301-N300-300000</f>
        <v>61558976</v>
      </c>
      <c r="Q301" s="218">
        <v>300000</v>
      </c>
    </row>
    <row r="302" spans="9:21">
      <c r="I302" s="187" t="s">
        <v>5363</v>
      </c>
      <c r="J302" s="186">
        <f t="shared" si="37"/>
        <v>-55865388</v>
      </c>
      <c r="K302" s="187" t="s">
        <v>5362</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5365</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5367</v>
      </c>
      <c r="L304" s="82">
        <v>1773000000</v>
      </c>
      <c r="M304" s="82">
        <v>879000000</v>
      </c>
      <c r="N304" s="111">
        <f t="shared" si="38"/>
        <v>2652000000</v>
      </c>
      <c r="O304" s="111">
        <f t="shared" si="39"/>
        <v>217170</v>
      </c>
      <c r="P304" s="111">
        <f t="shared" si="40"/>
        <v>-212651</v>
      </c>
      <c r="Q304" s="218">
        <v>0</v>
      </c>
    </row>
    <row r="305" spans="9:17">
      <c r="I305" s="207" t="s">
        <v>5369</v>
      </c>
      <c r="J305" s="111">
        <f>L305-L304-400000</f>
        <v>-400000</v>
      </c>
      <c r="K305" s="207" t="s">
        <v>5368</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5375</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5388</v>
      </c>
      <c r="L307" s="82">
        <v>1627606378</v>
      </c>
      <c r="M307" s="82">
        <v>802901457</v>
      </c>
      <c r="N307" s="111">
        <f t="shared" si="38"/>
        <v>2430507835</v>
      </c>
      <c r="O307" s="111">
        <f t="shared" si="39"/>
        <v>21798585</v>
      </c>
      <c r="P307" s="111">
        <f t="shared" si="40"/>
        <v>63329771</v>
      </c>
      <c r="Q307" s="218">
        <v>0</v>
      </c>
    </row>
    <row r="308" spans="9:17">
      <c r="I308" s="207" t="s">
        <v>5390</v>
      </c>
      <c r="J308" s="111">
        <f>L308-L307+968000</f>
        <v>30858637</v>
      </c>
      <c r="K308" s="207" t="s">
        <v>5389</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5391</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5392</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5394</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5395</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5396</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5397</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5398</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5399</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5400</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5401</v>
      </c>
      <c r="L318" s="82">
        <v>2260584534</v>
      </c>
      <c r="M318" s="82">
        <v>1120314374</v>
      </c>
      <c r="N318" s="212">
        <f t="shared" si="41"/>
        <v>3380898908</v>
      </c>
      <c r="O318" s="111">
        <f t="shared" si="42"/>
        <v>67266920</v>
      </c>
      <c r="P318" s="111">
        <f t="shared" si="43"/>
        <v>208542979</v>
      </c>
      <c r="Q318" s="218">
        <v>0</v>
      </c>
    </row>
    <row r="319" spans="9:17">
      <c r="I319" s="207" t="s">
        <v>5403</v>
      </c>
      <c r="J319" s="111">
        <f>L319-L318-3006000</f>
        <v>32865631</v>
      </c>
      <c r="K319" s="207" t="s">
        <v>5402</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5407</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5409</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5410</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5411</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5412</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5418</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5419</v>
      </c>
      <c r="L326" s="82">
        <v>2819979138</v>
      </c>
      <c r="M326" s="82">
        <v>1401539279</v>
      </c>
      <c r="N326" s="212">
        <f t="shared" si="41"/>
        <v>4221518417</v>
      </c>
      <c r="O326" s="111">
        <f t="shared" si="42"/>
        <v>13084171</v>
      </c>
      <c r="P326" s="111">
        <f t="shared" si="43"/>
        <v>39080100</v>
      </c>
      <c r="Q326" s="218">
        <v>0</v>
      </c>
    </row>
    <row r="327" spans="9:22">
      <c r="I327" s="207" t="s">
        <v>5422</v>
      </c>
      <c r="J327" s="111">
        <f>L327-L326+130382924</f>
        <v>36685298</v>
      </c>
      <c r="K327" s="207" t="s">
        <v>5421</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5420</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5423</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5424</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5428</v>
      </c>
      <c r="J332" s="186">
        <f>L332-L331-125000000</f>
        <v>154015802</v>
      </c>
      <c r="K332" s="187" t="s">
        <v>5300</v>
      </c>
      <c r="L332" s="223">
        <v>3877711355</v>
      </c>
      <c r="M332" s="223">
        <v>1868422520</v>
      </c>
      <c r="N332" s="212">
        <f t="shared" si="44"/>
        <v>5746133875</v>
      </c>
      <c r="O332" s="186">
        <f t="shared" si="45"/>
        <v>77900986</v>
      </c>
      <c r="P332" s="186">
        <f>N332-N331-125000000</f>
        <v>231916788</v>
      </c>
      <c r="Q332" s="218">
        <v>125000000</v>
      </c>
    </row>
    <row r="333" spans="9:22">
      <c r="I333" s="187" t="s">
        <v>5429</v>
      </c>
      <c r="J333" s="186">
        <f>L333-L332-7200000</f>
        <v>-108573535</v>
      </c>
      <c r="K333" s="187" t="s">
        <v>5425</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5432</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5433</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5434</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5437</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5438</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5440</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5441</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5442</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5443</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5444</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5445</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5449</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5465</v>
      </c>
      <c r="L346" s="82">
        <v>3220000000</v>
      </c>
      <c r="M346" s="82">
        <v>1580000000</v>
      </c>
      <c r="N346" s="111">
        <f t="shared" si="44"/>
        <v>4800000000</v>
      </c>
      <c r="O346" s="111">
        <f t="shared" si="45"/>
        <v>16994429</v>
      </c>
      <c r="P346" s="111">
        <f t="shared" si="46"/>
        <v>32497144</v>
      </c>
      <c r="Q346" s="218">
        <v>0</v>
      </c>
    </row>
    <row r="347" spans="9:19">
      <c r="I347" s="187" t="s">
        <v>5480</v>
      </c>
      <c r="J347" s="186">
        <f>L347-L346-50000000</f>
        <v>30000000</v>
      </c>
      <c r="K347" s="187" t="s">
        <v>5466</v>
      </c>
      <c r="L347" s="223">
        <v>3300000000</v>
      </c>
      <c r="M347" s="223">
        <v>1600000000</v>
      </c>
      <c r="N347" s="186">
        <f t="shared" si="44"/>
        <v>4900000000</v>
      </c>
      <c r="O347" s="186">
        <f t="shared" si="45"/>
        <v>20000000</v>
      </c>
      <c r="P347" s="186">
        <f>N347-N346-50000000</f>
        <v>50000000</v>
      </c>
      <c r="Q347" s="218">
        <v>50000000</v>
      </c>
    </row>
    <row r="348" spans="9:19">
      <c r="I348" s="187" t="s">
        <v>5482</v>
      </c>
      <c r="J348" s="186">
        <f t="shared" si="37"/>
        <v>79324490</v>
      </c>
      <c r="K348" s="187" t="s">
        <v>5467</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5485</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5486</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5487</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5489</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5490</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5492</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5493</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5494</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5495</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5496</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5497</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5498</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5501</v>
      </c>
      <c r="L361" s="82">
        <v>4730000000</v>
      </c>
      <c r="M361" s="82">
        <v>2276000000</v>
      </c>
      <c r="N361" s="275">
        <f t="shared" si="44"/>
        <v>7006000000</v>
      </c>
      <c r="O361" s="111">
        <f t="shared" si="45"/>
        <v>9599335.7503376007</v>
      </c>
      <c r="P361" s="111">
        <f t="shared" si="46"/>
        <v>37003184.750337601</v>
      </c>
      <c r="Q361" s="218">
        <v>0</v>
      </c>
    </row>
    <row r="362" spans="9:21">
      <c r="I362" s="210" t="s">
        <v>5503</v>
      </c>
      <c r="J362" s="230">
        <f>L362-L361+58196600</f>
        <v>79816926</v>
      </c>
      <c r="K362" s="210" t="s">
        <v>5502</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5504</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5506</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5508</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5509</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5512</v>
      </c>
      <c r="L367" s="82">
        <v>5620000000</v>
      </c>
      <c r="M367" s="82">
        <v>2670000000</v>
      </c>
      <c r="N367" s="111">
        <f t="shared" si="44"/>
        <v>8290000000</v>
      </c>
      <c r="O367" s="111">
        <f t="shared" si="47"/>
        <v>-19938073</v>
      </c>
      <c r="P367" s="111">
        <f t="shared" si="48"/>
        <v>-63769642</v>
      </c>
      <c r="S367" t="s">
        <v>25</v>
      </c>
    </row>
    <row r="368" spans="9:21">
      <c r="I368" s="187" t="s">
        <v>5514</v>
      </c>
      <c r="J368" s="186">
        <f t="shared" si="37"/>
        <v>-39749235</v>
      </c>
      <c r="K368" s="187" t="s">
        <v>5513</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5518</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5519</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5520</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5521</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5522</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5523</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5526</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5527</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5539</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5546</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5547</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5553</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5557</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5558</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5562</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5567</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5569</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5570</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5571</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5572</v>
      </c>
      <c r="L389" s="82">
        <v>6126666000</v>
      </c>
      <c r="M389" s="82">
        <v>3341157354</v>
      </c>
      <c r="N389" s="111">
        <f t="shared" si="44"/>
        <v>9467823354</v>
      </c>
      <c r="O389" s="111">
        <f t="shared" si="49"/>
        <v>26757796</v>
      </c>
      <c r="P389" s="111">
        <f t="shared" si="50"/>
        <v>-44095692</v>
      </c>
      <c r="Q389" s="218">
        <v>0</v>
      </c>
    </row>
    <row r="390" spans="9:21">
      <c r="I390" s="260" t="s">
        <v>5578</v>
      </c>
      <c r="J390" s="92">
        <f>L390-L389+98469400</f>
        <v>113425690</v>
      </c>
      <c r="K390" s="260" t="s">
        <v>5561</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5559</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5579</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5580</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5581</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5583</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5584</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5585</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5560</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5588</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5589</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5592</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5593</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5595</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5597</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5600</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5602</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5603</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5604</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5607</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5609</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5612</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5613</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5614</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5617</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5618</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5619</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5624</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5625</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5627</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5629</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5630</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5631</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5643</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5644</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5646</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5650</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5652</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5660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5670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5671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5680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5693</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5695</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5696</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5710</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5709</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5708</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5699</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5703</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5704</v>
      </c>
      <c r="L453" s="82">
        <v>4500000000</v>
      </c>
      <c r="M453" s="82">
        <v>2500000000</v>
      </c>
      <c r="N453" s="111">
        <f t="shared" si="52"/>
        <v>7000000000</v>
      </c>
      <c r="O453" s="111">
        <f t="shared" si="55"/>
        <v>-100000000</v>
      </c>
      <c r="P453" s="111">
        <f t="shared" si="56"/>
        <v>-200000000</v>
      </c>
      <c r="Q453" s="218">
        <v>0</v>
      </c>
    </row>
    <row r="454" spans="9:21">
      <c r="I454" s="187" t="s">
        <v>5712</v>
      </c>
      <c r="J454" s="186">
        <f>L454-L453-260000000</f>
        <v>-241879353</v>
      </c>
      <c r="K454" s="187" t="s">
        <v>5707</v>
      </c>
      <c r="L454" s="223">
        <v>4518120647</v>
      </c>
      <c r="M454" s="223">
        <v>2565627600</v>
      </c>
      <c r="N454" s="186">
        <f t="shared" si="52"/>
        <v>7083748247</v>
      </c>
      <c r="O454" s="186">
        <f>M454-M453-260000</f>
        <v>65367600</v>
      </c>
      <c r="P454" s="186">
        <f>N454-N453-260260000</f>
        <v>-176511753</v>
      </c>
      <c r="Q454" s="294">
        <v>260260000</v>
      </c>
    </row>
    <row r="455" spans="9:21">
      <c r="I455" s="207"/>
      <c r="J455" s="111">
        <f t="shared" si="51"/>
        <v>170536780</v>
      </c>
      <c r="K455" s="207" t="s">
        <v>5711</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5713</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5714</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5715</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5716</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5719</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5720</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5721</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5722</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5723</v>
      </c>
      <c r="L464" s="82">
        <v>5684600946</v>
      </c>
      <c r="M464" s="82">
        <v>3223570500</v>
      </c>
      <c r="N464" s="111">
        <f t="shared" si="57"/>
        <v>8908171446</v>
      </c>
      <c r="O464" s="111">
        <f t="shared" si="58"/>
        <v>146480670</v>
      </c>
      <c r="P464" s="111">
        <f t="shared" si="59"/>
        <v>445129043</v>
      </c>
      <c r="Q464" s="218">
        <v>0</v>
      </c>
    </row>
    <row r="465" spans="9:19">
      <c r="I465" s="187" t="s">
        <v>5727</v>
      </c>
      <c r="J465" s="186">
        <f t="shared" si="51"/>
        <v>221604304</v>
      </c>
      <c r="K465" s="187" t="s">
        <v>965</v>
      </c>
      <c r="L465" s="223">
        <v>5906205250</v>
      </c>
      <c r="M465" s="223">
        <v>3345406425</v>
      </c>
      <c r="N465" s="186">
        <f t="shared" si="57"/>
        <v>9251611675</v>
      </c>
      <c r="O465" s="186">
        <f>M465-M464-11221062</f>
        <v>110614863</v>
      </c>
      <c r="P465" s="186">
        <f>N465-N464-11221062</f>
        <v>332219167</v>
      </c>
      <c r="Q465" s="294">
        <v>11221062</v>
      </c>
    </row>
    <row r="466" spans="9:19">
      <c r="I466" s="207"/>
      <c r="J466" s="111">
        <f t="shared" si="51"/>
        <v>154663604</v>
      </c>
      <c r="K466" s="207" t="s">
        <v>5730</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5731</v>
      </c>
      <c r="L467" s="82">
        <v>6143888625</v>
      </c>
      <c r="M467" s="82">
        <v>3526728170</v>
      </c>
      <c r="N467" s="111">
        <f t="shared" si="57"/>
        <v>9670616795</v>
      </c>
      <c r="O467" s="111">
        <f t="shared" si="58"/>
        <v>62523077</v>
      </c>
      <c r="P467" s="111">
        <f t="shared" si="59"/>
        <v>145542848</v>
      </c>
      <c r="Q467" s="218">
        <v>0</v>
      </c>
    </row>
    <row r="468" spans="9:19">
      <c r="I468" s="207" t="s">
        <v>5734</v>
      </c>
      <c r="J468" s="111">
        <f>L468-L467-20000</f>
        <v>-31443260</v>
      </c>
      <c r="K468" s="207" t="s">
        <v>5733</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5736</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5737</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5739</v>
      </c>
      <c r="L471" s="82">
        <v>6013616539</v>
      </c>
      <c r="M471" s="82">
        <v>3413915060</v>
      </c>
      <c r="N471" s="111">
        <f t="shared" si="57"/>
        <v>9427531599</v>
      </c>
      <c r="O471" s="111">
        <f t="shared" si="58"/>
        <v>-132100286</v>
      </c>
      <c r="P471" s="111">
        <f t="shared" si="59"/>
        <v>-358771555</v>
      </c>
      <c r="Q471" s="218">
        <v>0</v>
      </c>
      <c r="R471" t="s">
        <v>25</v>
      </c>
    </row>
    <row r="472" spans="9:19">
      <c r="I472" s="207" t="s">
        <v>5743</v>
      </c>
      <c r="J472" s="111">
        <f>L472-L471-70000</f>
        <v>-63686539</v>
      </c>
      <c r="K472" s="207" t="s">
        <v>5741</v>
      </c>
      <c r="L472" s="82">
        <v>5950000000</v>
      </c>
      <c r="M472" s="82">
        <v>3380000000</v>
      </c>
      <c r="N472" s="111">
        <f t="shared" si="57"/>
        <v>9330000000</v>
      </c>
      <c r="O472" s="111">
        <f>M472-M471-70000</f>
        <v>-33985060</v>
      </c>
      <c r="P472" s="111">
        <f>N472-N471-140000</f>
        <v>-97671599</v>
      </c>
      <c r="Q472" s="218">
        <v>140000</v>
      </c>
    </row>
    <row r="473" spans="9:19">
      <c r="I473" s="207" t="s">
        <v>5750</v>
      </c>
      <c r="J473" s="111">
        <f>L473-L472-330000</f>
        <v>-62693116</v>
      </c>
      <c r="K473" s="207" t="s">
        <v>5748</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5752</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5762</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5309</v>
      </c>
      <c r="B1">
        <v>0.24</v>
      </c>
    </row>
    <row r="4" spans="1:21">
      <c r="A4" s="97" t="s">
        <v>3625</v>
      </c>
      <c r="B4" s="97" t="s">
        <v>180</v>
      </c>
      <c r="C4" s="97" t="s">
        <v>5313</v>
      </c>
      <c r="D4" s="97" t="s">
        <v>5314</v>
      </c>
      <c r="E4" s="97" t="s">
        <v>5321</v>
      </c>
      <c r="F4" s="97" t="s">
        <v>5315</v>
      </c>
      <c r="G4" s="97" t="s">
        <v>5316</v>
      </c>
      <c r="H4" s="97" t="s">
        <v>5317</v>
      </c>
      <c r="I4" s="97" t="s">
        <v>5318</v>
      </c>
      <c r="J4" s="97" t="s">
        <v>5319</v>
      </c>
      <c r="K4" s="97" t="s">
        <v>5320</v>
      </c>
      <c r="L4" s="97" t="s">
        <v>5308</v>
      </c>
      <c r="M4" s="97" t="s">
        <v>5310</v>
      </c>
      <c r="N4" s="97" t="s">
        <v>5311</v>
      </c>
      <c r="O4" s="97"/>
    </row>
    <row r="5" spans="1:21">
      <c r="A5" s="97">
        <v>0</v>
      </c>
      <c r="B5" s="97" t="s">
        <v>5307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5322</v>
      </c>
      <c r="C52" s="267" t="s">
        <v>5323</v>
      </c>
      <c r="D52" s="267" t="s">
        <v>5324</v>
      </c>
      <c r="E52" s="267" t="s">
        <v>4248</v>
      </c>
      <c r="F52" s="267" t="s">
        <v>5325</v>
      </c>
      <c r="G52" s="267" t="s">
        <v>5326</v>
      </c>
      <c r="H52" s="267" t="s">
        <v>5327</v>
      </c>
      <c r="I52" s="267" t="s">
        <v>5328</v>
      </c>
      <c r="J52" s="267" t="s">
        <v>5329</v>
      </c>
      <c r="K52" s="267" t="s">
        <v>5330</v>
      </c>
      <c r="L52" s="267" t="s">
        <v>5331</v>
      </c>
      <c r="M52" s="267" t="s">
        <v>5332</v>
      </c>
      <c r="N52" s="267" t="s">
        <v>5333</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5294</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5289</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5280</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5271</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5304</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5322</v>
      </c>
      <c r="C64" s="267" t="s">
        <v>5323</v>
      </c>
      <c r="D64" s="267" t="s">
        <v>5324</v>
      </c>
      <c r="E64" s="267" t="s">
        <v>4248</v>
      </c>
      <c r="F64" s="267" t="s">
        <v>5325</v>
      </c>
      <c r="G64" s="267" t="s">
        <v>5326</v>
      </c>
      <c r="H64" s="267" t="s">
        <v>5327</v>
      </c>
      <c r="I64" s="267" t="s">
        <v>5328</v>
      </c>
      <c r="J64" s="267" t="s">
        <v>5329</v>
      </c>
      <c r="K64" s="267" t="s">
        <v>5330</v>
      </c>
      <c r="L64" s="267" t="s">
        <v>5331</v>
      </c>
      <c r="M64" s="267" t="s">
        <v>5332</v>
      </c>
      <c r="N64" s="267" t="s">
        <v>5333</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5294</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5280</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5271</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5304</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5551</v>
      </c>
    </row>
    <row r="29" spans="2:21">
      <c r="G29" s="11">
        <f t="shared" ref="G29:G48" si="5">$I$49-I29</f>
        <v>5860</v>
      </c>
      <c r="H29" s="11" t="s">
        <v>5301</v>
      </c>
      <c r="I29" s="11">
        <v>270000</v>
      </c>
      <c r="J29" s="11" t="s">
        <v>561</v>
      </c>
    </row>
    <row r="30" spans="2:21">
      <c r="G30" s="11">
        <f t="shared" si="5"/>
        <v>5860</v>
      </c>
      <c r="H30" s="11" t="s">
        <v>5301</v>
      </c>
      <c r="I30" s="11">
        <v>270000</v>
      </c>
      <c r="J30" s="11" t="s">
        <v>562</v>
      </c>
    </row>
    <row r="31" spans="2:21">
      <c r="G31" s="11">
        <f t="shared" si="5"/>
        <v>0</v>
      </c>
      <c r="H31" s="11" t="s">
        <v>5823</v>
      </c>
      <c r="I31" s="11">
        <v>275860</v>
      </c>
      <c r="J31" s="11" t="s">
        <v>476</v>
      </c>
    </row>
    <row r="32" spans="2:21">
      <c r="G32" s="11">
        <f t="shared" si="5"/>
        <v>90860</v>
      </c>
      <c r="H32" s="57" t="s">
        <v>780</v>
      </c>
      <c r="I32" s="11">
        <v>185000</v>
      </c>
      <c r="J32" s="11" t="s">
        <v>556</v>
      </c>
    </row>
    <row r="33" spans="6:23">
      <c r="G33" s="11">
        <f t="shared" si="5"/>
        <v>0</v>
      </c>
      <c r="H33" s="11" t="s">
        <v>5823</v>
      </c>
      <c r="I33" s="11">
        <v>275860</v>
      </c>
      <c r="J33" s="11" t="s">
        <v>563</v>
      </c>
    </row>
    <row r="34" spans="6:23">
      <c r="G34" s="11">
        <f t="shared" si="5"/>
        <v>0</v>
      </c>
      <c r="H34" s="11" t="s">
        <v>5823</v>
      </c>
      <c r="I34" s="11">
        <v>275860</v>
      </c>
      <c r="J34" s="11" t="s">
        <v>564</v>
      </c>
    </row>
    <row r="35" spans="6:23">
      <c r="G35" s="11">
        <f t="shared" si="5"/>
        <v>0</v>
      </c>
      <c r="H35" s="11" t="s">
        <v>5823</v>
      </c>
      <c r="I35" s="11">
        <v>275860</v>
      </c>
      <c r="J35" s="11" t="s">
        <v>565</v>
      </c>
    </row>
    <row r="36" spans="6:23">
      <c r="F36" t="s">
        <v>25</v>
      </c>
      <c r="G36" s="11">
        <f t="shared" si="5"/>
        <v>11860</v>
      </c>
      <c r="H36" s="11" t="s">
        <v>5343</v>
      </c>
      <c r="I36" s="11">
        <v>264000</v>
      </c>
      <c r="J36" s="11" t="s">
        <v>636</v>
      </c>
      <c r="O36" s="22"/>
    </row>
    <row r="37" spans="6:23">
      <c r="G37" s="11">
        <f t="shared" si="5"/>
        <v>17860</v>
      </c>
      <c r="H37" s="11" t="s">
        <v>5156</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5115</v>
      </c>
      <c r="I47" s="97">
        <v>257000</v>
      </c>
      <c r="J47" s="97" t="s">
        <v>5146</v>
      </c>
      <c r="M47" s="25"/>
      <c r="N47" s="25"/>
      <c r="O47" s="25"/>
      <c r="P47" s="25"/>
      <c r="Q47" s="25"/>
      <c r="R47" s="25"/>
      <c r="S47" s="25"/>
      <c r="T47" s="25"/>
      <c r="U47" s="25"/>
      <c r="V47" s="25"/>
      <c r="W47" s="25"/>
    </row>
    <row r="48" spans="6:23">
      <c r="G48" s="97">
        <f t="shared" si="5"/>
        <v>0</v>
      </c>
      <c r="H48" s="97" t="s">
        <v>5825</v>
      </c>
      <c r="I48" s="97">
        <v>275860</v>
      </c>
      <c r="J48" s="97" t="s">
        <v>5824</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5552</v>
      </c>
      <c r="M53" s="25"/>
      <c r="N53" s="25"/>
      <c r="O53" s="68"/>
      <c r="P53" s="25"/>
      <c r="Q53" s="69"/>
      <c r="R53" s="25"/>
      <c r="S53" s="69"/>
      <c r="T53" s="25"/>
      <c r="U53" s="25"/>
      <c r="V53" s="25"/>
      <c r="W53" s="25"/>
    </row>
    <row r="54" spans="7:23">
      <c r="G54" s="97">
        <f>$I$73-I54</f>
        <v>6000</v>
      </c>
      <c r="H54" s="97" t="s">
        <v>5301</v>
      </c>
      <c r="I54" s="97">
        <v>38000</v>
      </c>
      <c r="J54" s="97" t="s">
        <v>561</v>
      </c>
      <c r="M54" s="25"/>
      <c r="N54" s="25"/>
      <c r="O54" s="25"/>
      <c r="P54" s="25"/>
      <c r="Q54" s="69"/>
      <c r="R54" s="25"/>
      <c r="S54" s="69"/>
      <c r="T54" s="25"/>
      <c r="U54" s="25"/>
      <c r="V54" s="25"/>
      <c r="W54" s="25"/>
    </row>
    <row r="55" spans="7:23">
      <c r="G55" s="97">
        <f t="shared" ref="G55:G72" si="6">$I$73-I55</f>
        <v>6000</v>
      </c>
      <c r="H55" s="97" t="s">
        <v>5301</v>
      </c>
      <c r="I55" s="97">
        <v>38000</v>
      </c>
      <c r="J55" s="97" t="s">
        <v>562</v>
      </c>
      <c r="M55" s="25"/>
      <c r="N55" s="25"/>
      <c r="O55" s="25"/>
      <c r="P55" s="25"/>
      <c r="Q55" s="69"/>
      <c r="R55" s="25"/>
      <c r="S55" s="69"/>
      <c r="T55" s="25"/>
      <c r="U55" s="28"/>
      <c r="V55" s="25"/>
      <c r="W55" s="25"/>
    </row>
    <row r="56" spans="7:23">
      <c r="G56" s="97">
        <f t="shared" si="6"/>
        <v>1500</v>
      </c>
      <c r="H56" s="97" t="s">
        <v>5787</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5787</v>
      </c>
      <c r="I58" s="97">
        <v>42500</v>
      </c>
      <c r="J58" s="97" t="s">
        <v>563</v>
      </c>
      <c r="M58" s="25"/>
      <c r="N58" s="25"/>
      <c r="O58" s="25"/>
      <c r="P58" s="25"/>
      <c r="Q58" s="69"/>
      <c r="R58" s="25"/>
      <c r="S58" s="69"/>
      <c r="T58" s="25"/>
      <c r="U58" s="25"/>
      <c r="V58" s="25"/>
      <c r="W58" s="25"/>
    </row>
    <row r="59" spans="7:23">
      <c r="G59" s="97">
        <f t="shared" si="6"/>
        <v>1500</v>
      </c>
      <c r="H59" s="97" t="s">
        <v>5787</v>
      </c>
      <c r="I59" s="97">
        <v>42500</v>
      </c>
      <c r="J59" s="97" t="s">
        <v>564</v>
      </c>
      <c r="M59" s="25"/>
      <c r="N59" s="25"/>
      <c r="O59" s="25"/>
      <c r="P59" s="25"/>
      <c r="Q59" s="69"/>
      <c r="R59" s="25"/>
      <c r="S59" s="69"/>
      <c r="T59" s="25"/>
      <c r="U59" s="25"/>
      <c r="V59" s="25"/>
      <c r="W59" s="25"/>
    </row>
    <row r="60" spans="7:23">
      <c r="G60" s="97">
        <f t="shared" si="6"/>
        <v>1500</v>
      </c>
      <c r="H60" s="97" t="s">
        <v>5787</v>
      </c>
      <c r="I60" s="97">
        <v>42500</v>
      </c>
      <c r="J60" s="97" t="s">
        <v>565</v>
      </c>
      <c r="M60" s="25"/>
      <c r="N60" s="25"/>
      <c r="O60" s="25"/>
      <c r="P60" s="25"/>
      <c r="Q60" s="69"/>
      <c r="R60" s="25"/>
      <c r="S60" s="69"/>
      <c r="T60" s="25"/>
      <c r="U60" s="25"/>
      <c r="V60" s="25"/>
      <c r="W60" s="25"/>
    </row>
    <row r="61" spans="7:23">
      <c r="G61" s="97">
        <f t="shared" si="6"/>
        <v>44000</v>
      </c>
      <c r="H61" s="97" t="s">
        <v>5343</v>
      </c>
      <c r="I61" s="97">
        <v>0</v>
      </c>
      <c r="J61" s="97" t="s">
        <v>636</v>
      </c>
      <c r="M61" s="25"/>
      <c r="N61" s="25"/>
      <c r="O61" s="25"/>
      <c r="P61" s="25"/>
      <c r="Q61" s="69"/>
      <c r="R61" s="25"/>
      <c r="S61" s="69"/>
      <c r="T61" s="25"/>
      <c r="U61" s="25"/>
      <c r="V61" s="25"/>
      <c r="W61" s="25"/>
    </row>
    <row r="62" spans="7:23">
      <c r="G62" s="97">
        <f t="shared" si="6"/>
        <v>44000</v>
      </c>
      <c r="H62" s="97" t="s">
        <v>5156</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5787</v>
      </c>
      <c r="I70" s="97">
        <v>42500</v>
      </c>
      <c r="J70" s="97" t="s">
        <v>1086</v>
      </c>
    </row>
    <row r="71" spans="7:17">
      <c r="G71" s="97">
        <f t="shared" si="6"/>
        <v>44000</v>
      </c>
      <c r="H71" s="97" t="s">
        <v>4721</v>
      </c>
      <c r="I71" s="97">
        <v>0</v>
      </c>
      <c r="J71" s="97" t="s">
        <v>4730</v>
      </c>
    </row>
    <row r="72" spans="7:17">
      <c r="G72" s="97">
        <f t="shared" si="6"/>
        <v>44000</v>
      </c>
      <c r="H72" s="97" t="s">
        <v>5115</v>
      </c>
      <c r="I72" s="97">
        <v>0</v>
      </c>
      <c r="J72" s="97" t="s">
        <v>5146</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3"/>
  <sheetViews>
    <sheetView tabSelected="1" zoomScaleNormal="100" workbookViewId="0">
      <selection activeCell="F20" sqref="F20"/>
    </sheetView>
  </sheetViews>
  <sheetFormatPr defaultRowHeight="15"/>
  <cols>
    <col min="1" max="1" width="22" customWidth="1"/>
    <col min="2" max="2" width="25.7109375" bestFit="1" customWidth="1"/>
    <col min="3" max="3" width="25.28515625" style="94" customWidth="1"/>
    <col min="4" max="4" width="25.85546875" style="94" customWidth="1"/>
    <col min="5" max="5" width="26.85546875" bestFit="1" customWidth="1"/>
    <col min="6" max="6" width="27" bestFit="1" customWidth="1"/>
    <col min="7" max="7" width="25.85546875" bestFit="1" customWidth="1"/>
    <col min="8" max="8" width="19.28515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4"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5">
      <c r="A1" s="207" t="s">
        <v>4834</v>
      </c>
      <c r="B1" s="207" t="s">
        <v>4835</v>
      </c>
      <c r="C1" s="187" t="s">
        <v>5882</v>
      </c>
      <c r="D1" s="187" t="s">
        <v>5883</v>
      </c>
      <c r="E1" s="207" t="s">
        <v>5540</v>
      </c>
      <c r="F1" s="207" t="s">
        <v>5541</v>
      </c>
      <c r="G1" s="207" t="s">
        <v>5884</v>
      </c>
      <c r="H1" s="207" t="s">
        <v>5880</v>
      </c>
      <c r="I1" s="207" t="s">
        <v>4844</v>
      </c>
      <c r="J1" s="207" t="s">
        <v>4843</v>
      </c>
      <c r="K1" s="207" t="s">
        <v>4248</v>
      </c>
      <c r="L1" s="54" t="s">
        <v>4926</v>
      </c>
      <c r="O1" t="s">
        <v>4837</v>
      </c>
      <c r="P1" t="s">
        <v>4840</v>
      </c>
      <c r="Q1" t="s">
        <v>4841</v>
      </c>
    </row>
    <row r="2" spans="1:25">
      <c r="A2" s="194" t="s">
        <v>4836</v>
      </c>
      <c r="B2" s="194">
        <v>1114343604</v>
      </c>
      <c r="C2" s="187">
        <v>950</v>
      </c>
      <c r="D2" s="187">
        <f>B2*C2/$O$2</f>
        <v>14.703144775</v>
      </c>
      <c r="E2" s="189">
        <v>2000</v>
      </c>
      <c r="F2" s="189">
        <f>B2*E2/$O$2</f>
        <v>30.953989</v>
      </c>
      <c r="G2" s="219">
        <v>2800</v>
      </c>
      <c r="H2" s="219">
        <f>B2*G2/$O$2</f>
        <v>43.335584599999997</v>
      </c>
      <c r="I2" s="194"/>
      <c r="J2" s="194"/>
      <c r="K2" s="194">
        <v>15500</v>
      </c>
      <c r="L2" s="194">
        <f>B2*K2/$O$2</f>
        <v>239.89341475000001</v>
      </c>
      <c r="O2">
        <v>72000000000</v>
      </c>
      <c r="P2">
        <v>27416800780</v>
      </c>
      <c r="Q2">
        <v>40500000000</v>
      </c>
    </row>
    <row r="3" spans="1:25">
      <c r="A3" s="323" t="s">
        <v>4838</v>
      </c>
      <c r="B3" s="323">
        <v>5320000000</v>
      </c>
      <c r="C3" s="187">
        <v>160</v>
      </c>
      <c r="D3" s="187">
        <f>B3*C3/$O$2</f>
        <v>11.822222222222223</v>
      </c>
      <c r="E3" s="323">
        <v>170</v>
      </c>
      <c r="F3" s="323">
        <f>B3*E3/$O$2</f>
        <v>12.561111111111112</v>
      </c>
      <c r="G3" s="219">
        <v>220</v>
      </c>
      <c r="H3" s="219">
        <f t="shared" ref="H3:H5" si="0">B3*G3/$O$2</f>
        <v>16.255555555555556</v>
      </c>
      <c r="I3" s="189"/>
      <c r="J3" s="189"/>
      <c r="K3" s="189">
        <v>4750</v>
      </c>
      <c r="L3" s="189">
        <f>B3*K3/$O$2</f>
        <v>350.97222222222223</v>
      </c>
      <c r="P3">
        <f>P2/Q2</f>
        <v>0.67695804395061732</v>
      </c>
    </row>
    <row r="4" spans="1:25">
      <c r="A4" s="323" t="s">
        <v>4839</v>
      </c>
      <c r="B4" s="323">
        <v>8000000</v>
      </c>
      <c r="C4" s="187">
        <v>42</v>
      </c>
      <c r="D4" s="187">
        <f>B4*C4/$O$2</f>
        <v>4.6666666666666671E-3</v>
      </c>
      <c r="E4" s="323">
        <v>281</v>
      </c>
      <c r="F4" s="323">
        <f>B4*E4/$O$2</f>
        <v>3.1222222222222221E-2</v>
      </c>
      <c r="G4" s="219">
        <v>380</v>
      </c>
      <c r="H4" s="219">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07"/>
      <c r="O5" s="94"/>
      <c r="P5" s="94"/>
      <c r="Q5" s="94"/>
      <c r="R5" s="94"/>
      <c r="S5" s="94"/>
      <c r="T5" s="94"/>
      <c r="U5" s="94"/>
      <c r="V5" s="94"/>
      <c r="W5" s="94"/>
    </row>
    <row r="6" spans="1:25">
      <c r="A6" s="189" t="s">
        <v>4836</v>
      </c>
      <c r="B6" s="189">
        <v>1124128522</v>
      </c>
      <c r="C6" s="187">
        <f>C2</f>
        <v>950</v>
      </c>
      <c r="D6" s="187">
        <f t="shared" ref="D6:D14" si="1">B6*C6*$P$3/$O$2</f>
        <v>10.040811849057048</v>
      </c>
      <c r="E6" s="189">
        <f>E2</f>
        <v>2000</v>
      </c>
      <c r="F6" s="189">
        <f t="shared" ref="F6:F14" si="2">B6*E6*$P$3/$O$2</f>
        <v>21.138551261172736</v>
      </c>
      <c r="G6" s="219">
        <f>G2</f>
        <v>2800</v>
      </c>
      <c r="H6" s="219">
        <f>B6*G6*$P$3/$O$2</f>
        <v>29.593971765641829</v>
      </c>
      <c r="I6" s="194">
        <v>0</v>
      </c>
      <c r="J6" s="194">
        <f t="shared" ref="J6:J20" si="3">B6*I6*$P$3/$O$2</f>
        <v>0</v>
      </c>
      <c r="K6" s="194">
        <f>K2</f>
        <v>15500</v>
      </c>
      <c r="L6" s="194">
        <f t="shared" ref="L6:L14" si="4">B6*K6*$P$3/$O$2</f>
        <v>163.8237722740887</v>
      </c>
      <c r="M6">
        <f>B6*E6/$Q$2</f>
        <v>55.512519604938269</v>
      </c>
      <c r="N6" s="94">
        <f>B6*G6/$Q$2</f>
        <v>77.717527446913579</v>
      </c>
      <c r="O6" s="94">
        <f>B6*C6/$Q$2</f>
        <v>26.368446812345677</v>
      </c>
      <c r="P6" s="94"/>
      <c r="Q6" s="94"/>
      <c r="R6" s="94"/>
      <c r="S6" s="94"/>
      <c r="T6" s="94"/>
      <c r="U6" s="94"/>
      <c r="V6" s="94"/>
      <c r="W6" s="94"/>
      <c r="X6" s="94"/>
      <c r="Y6" s="94"/>
    </row>
    <row r="7" spans="1:25">
      <c r="A7" s="323" t="s">
        <v>4842</v>
      </c>
      <c r="B7" s="323">
        <v>556303872</v>
      </c>
      <c r="C7" s="187">
        <v>70</v>
      </c>
      <c r="D7" s="187">
        <f t="shared" si="1"/>
        <v>0.36613342600262805</v>
      </c>
      <c r="E7" s="323">
        <v>1295</v>
      </c>
      <c r="F7" s="323">
        <f t="shared" si="2"/>
        <v>6.7734683810486196</v>
      </c>
      <c r="G7" s="219">
        <v>1800</v>
      </c>
      <c r="H7" s="219">
        <f t="shared" ref="H7:H14" si="5">B7*G7*$P$3/$O$2</f>
        <v>9.4148595257818659</v>
      </c>
      <c r="I7" s="189">
        <v>300</v>
      </c>
      <c r="J7" s="189">
        <f t="shared" si="3"/>
        <v>1.5691432542969774</v>
      </c>
      <c r="K7" s="189">
        <v>11400</v>
      </c>
      <c r="L7" s="189">
        <f t="shared" si="4"/>
        <v>59.627443663285142</v>
      </c>
      <c r="M7" s="94">
        <f t="shared" ref="M7:M14" si="6">B7*E7/$Q$2</f>
        <v>17.787988005925925</v>
      </c>
      <c r="N7" s="94">
        <f t="shared" ref="N7:N14" si="7">B7*G7/$Q$2</f>
        <v>24.724616533333332</v>
      </c>
      <c r="O7" s="94">
        <f t="shared" ref="O7:O14" si="8">B7*C7/$Q$2</f>
        <v>0.96151286518518519</v>
      </c>
      <c r="P7" s="94"/>
      <c r="Q7" s="94"/>
      <c r="R7" s="94"/>
      <c r="S7" s="94"/>
      <c r="T7" s="94"/>
      <c r="U7" s="94"/>
      <c r="V7" s="94"/>
      <c r="W7" s="94"/>
      <c r="X7" s="94"/>
      <c r="Y7" s="94"/>
    </row>
    <row r="8" spans="1:25">
      <c r="A8" s="323" t="s">
        <v>4839</v>
      </c>
      <c r="B8" s="323">
        <v>4374853691</v>
      </c>
      <c r="C8" s="187">
        <f>C4</f>
        <v>42</v>
      </c>
      <c r="D8" s="187">
        <f t="shared" si="1"/>
        <v>1.7275955650505408</v>
      </c>
      <c r="E8" s="323">
        <f>E4</f>
        <v>281</v>
      </c>
      <c r="F8" s="323">
        <f t="shared" si="2"/>
        <v>11.558436994742904</v>
      </c>
      <c r="G8" s="219">
        <f>G4</f>
        <v>380</v>
      </c>
      <c r="H8" s="219">
        <f t="shared" si="5"/>
        <v>15.630626540933465</v>
      </c>
      <c r="I8" s="189"/>
      <c r="J8" s="189">
        <f t="shared" si="3"/>
        <v>0</v>
      </c>
      <c r="K8" s="189">
        <f>K4</f>
        <v>2720</v>
      </c>
      <c r="L8" s="189">
        <f t="shared" si="4"/>
        <v>111.88237945089216</v>
      </c>
      <c r="M8" s="94">
        <f t="shared" si="6"/>
        <v>30.35392314002469</v>
      </c>
      <c r="N8" s="94">
        <f t="shared" si="7"/>
        <v>41.048009940246914</v>
      </c>
      <c r="O8" s="94">
        <f t="shared" si="8"/>
        <v>4.5368853091851848</v>
      </c>
      <c r="P8" s="94"/>
      <c r="Q8" s="94"/>
      <c r="R8" s="94"/>
      <c r="S8" s="94"/>
      <c r="T8" s="94"/>
      <c r="U8" s="94"/>
      <c r="V8" s="94"/>
      <c r="W8" s="94"/>
      <c r="X8" s="94"/>
      <c r="Y8" s="94"/>
    </row>
    <row r="9" spans="1:25">
      <c r="A9" s="189" t="s">
        <v>4845</v>
      </c>
      <c r="B9" s="189">
        <v>4126766661</v>
      </c>
      <c r="C9" s="187">
        <v>680</v>
      </c>
      <c r="D9" s="187">
        <f t="shared" si="1"/>
        <v>26.384452263005592</v>
      </c>
      <c r="E9" s="189">
        <v>1800</v>
      </c>
      <c r="F9" s="189">
        <f t="shared" si="2"/>
        <v>69.841197166779494</v>
      </c>
      <c r="G9" s="219">
        <v>2000</v>
      </c>
      <c r="H9" s="219">
        <f t="shared" si="5"/>
        <v>77.601330185310559</v>
      </c>
      <c r="I9" s="207"/>
      <c r="J9" s="207">
        <f t="shared" si="3"/>
        <v>0</v>
      </c>
      <c r="K9" s="207">
        <v>10100</v>
      </c>
      <c r="L9" s="207">
        <f t="shared" si="4"/>
        <v>391.88671743581835</v>
      </c>
      <c r="M9" s="94">
        <f t="shared" si="6"/>
        <v>183.41185160000001</v>
      </c>
      <c r="N9" s="94">
        <f t="shared" si="7"/>
        <v>203.79094622222223</v>
      </c>
      <c r="O9" s="94">
        <f t="shared" si="8"/>
        <v>69.28892171555556</v>
      </c>
      <c r="P9" s="94" t="s">
        <v>25</v>
      </c>
      <c r="Q9" s="94"/>
      <c r="R9" s="94"/>
      <c r="S9" s="94"/>
      <c r="T9" s="94"/>
      <c r="U9" s="94"/>
      <c r="V9" s="94"/>
      <c r="W9" s="94"/>
    </row>
    <row r="10" spans="1:25">
      <c r="A10" s="189" t="s">
        <v>4846</v>
      </c>
      <c r="B10" s="189">
        <v>2693179034</v>
      </c>
      <c r="C10" s="187">
        <v>20</v>
      </c>
      <c r="D10" s="187">
        <f t="shared" si="1"/>
        <v>0.50643589190707028</v>
      </c>
      <c r="E10" s="189">
        <v>620</v>
      </c>
      <c r="F10" s="189">
        <f t="shared" si="2"/>
        <v>15.699512649119178</v>
      </c>
      <c r="G10" s="219">
        <v>750</v>
      </c>
      <c r="H10" s="219">
        <f t="shared" si="5"/>
        <v>18.991345946515136</v>
      </c>
      <c r="I10" s="195"/>
      <c r="J10" s="195">
        <f t="shared" si="3"/>
        <v>0</v>
      </c>
      <c r="K10" s="195">
        <v>5850</v>
      </c>
      <c r="L10" s="195">
        <f t="shared" si="4"/>
        <v>148.13249838281806</v>
      </c>
      <c r="M10" s="94">
        <f t="shared" si="6"/>
        <v>41.228913606913579</v>
      </c>
      <c r="N10" s="94">
        <f t="shared" si="7"/>
        <v>49.873685814814813</v>
      </c>
      <c r="O10" s="94">
        <f t="shared" si="8"/>
        <v>1.3299649550617283</v>
      </c>
      <c r="P10" s="94" t="s">
        <v>25</v>
      </c>
      <c r="Q10" s="94"/>
      <c r="R10" s="94"/>
      <c r="S10" s="94"/>
      <c r="T10" s="94"/>
      <c r="U10" s="94"/>
      <c r="V10" s="94"/>
      <c r="W10" s="94"/>
    </row>
    <row r="11" spans="1:25">
      <c r="A11" s="189" t="s">
        <v>4847</v>
      </c>
      <c r="B11" s="189">
        <v>4953996962</v>
      </c>
      <c r="C11" s="187">
        <v>70</v>
      </c>
      <c r="D11" s="187">
        <f t="shared" si="1"/>
        <v>3.260491201656909</v>
      </c>
      <c r="E11" s="189">
        <v>300</v>
      </c>
      <c r="F11" s="189">
        <f t="shared" si="2"/>
        <v>13.973533721386753</v>
      </c>
      <c r="G11" s="219">
        <v>350</v>
      </c>
      <c r="H11" s="219">
        <f t="shared" si="5"/>
        <v>16.302456008284548</v>
      </c>
      <c r="I11" s="189"/>
      <c r="J11" s="189">
        <f t="shared" si="3"/>
        <v>0</v>
      </c>
      <c r="K11" s="189">
        <v>3110</v>
      </c>
      <c r="L11" s="189">
        <f t="shared" si="4"/>
        <v>144.85896624504267</v>
      </c>
      <c r="M11" s="94">
        <f t="shared" si="6"/>
        <v>36.696273792592592</v>
      </c>
      <c r="N11" s="94">
        <f t="shared" si="7"/>
        <v>42.81231942469136</v>
      </c>
      <c r="O11" s="94">
        <f t="shared" si="8"/>
        <v>8.5624638849382713</v>
      </c>
      <c r="P11" s="94"/>
      <c r="Q11" s="94"/>
      <c r="R11" s="94"/>
      <c r="S11" s="94"/>
      <c r="T11" s="94"/>
      <c r="U11" s="94"/>
      <c r="V11" s="94"/>
      <c r="W11" s="94"/>
    </row>
    <row r="12" spans="1:25">
      <c r="A12" s="323" t="s">
        <v>5511</v>
      </c>
      <c r="B12" s="323">
        <v>1636875595</v>
      </c>
      <c r="C12" s="187">
        <v>60</v>
      </c>
      <c r="D12" s="187">
        <f t="shared" si="1"/>
        <v>0.92341341748475247</v>
      </c>
      <c r="E12" s="323">
        <v>352</v>
      </c>
      <c r="F12" s="323">
        <f t="shared" si="2"/>
        <v>5.417358715910547</v>
      </c>
      <c r="G12" s="219">
        <v>430</v>
      </c>
      <c r="H12" s="219">
        <f t="shared" si="5"/>
        <v>6.6177961586407257</v>
      </c>
      <c r="I12" s="189"/>
      <c r="J12" s="189">
        <f t="shared" si="3"/>
        <v>0</v>
      </c>
      <c r="K12" s="189">
        <v>3900</v>
      </c>
      <c r="L12" s="189">
        <f t="shared" si="4"/>
        <v>60.021872136508904</v>
      </c>
      <c r="M12" s="94">
        <f t="shared" si="6"/>
        <v>14.226671838024691</v>
      </c>
      <c r="N12" s="94">
        <f t="shared" si="7"/>
        <v>17.379172983950617</v>
      </c>
      <c r="O12" s="94">
        <f t="shared" si="8"/>
        <v>2.4250008814814814</v>
      </c>
      <c r="P12" s="94"/>
      <c r="Q12" s="94"/>
      <c r="R12" s="94"/>
      <c r="S12" s="94"/>
      <c r="T12" s="94"/>
      <c r="U12" s="94"/>
      <c r="V12" s="94"/>
      <c r="W12" s="94"/>
    </row>
    <row r="13" spans="1:25">
      <c r="A13" s="323" t="s">
        <v>4361</v>
      </c>
      <c r="B13" s="323">
        <v>813683684</v>
      </c>
      <c r="C13" s="187">
        <v>1100</v>
      </c>
      <c r="D13" s="187">
        <f t="shared" si="1"/>
        <v>8.4154539809262427</v>
      </c>
      <c r="E13" s="323">
        <v>2554</v>
      </c>
      <c r="F13" s="323">
        <f t="shared" si="2"/>
        <v>19.539154061168748</v>
      </c>
      <c r="G13" s="219">
        <v>4500</v>
      </c>
      <c r="H13" s="219">
        <f t="shared" si="5"/>
        <v>34.426857194698265</v>
      </c>
      <c r="I13" s="189"/>
      <c r="J13" s="189">
        <f t="shared" si="3"/>
        <v>0</v>
      </c>
      <c r="K13" s="189">
        <v>21700</v>
      </c>
      <c r="L13" s="189">
        <f t="shared" si="4"/>
        <v>166.01395580554495</v>
      </c>
      <c r="M13" s="94">
        <f t="shared" si="6"/>
        <v>51.312299479901235</v>
      </c>
      <c r="N13" s="94">
        <f t="shared" si="7"/>
        <v>90.409298222222219</v>
      </c>
      <c r="O13" s="94">
        <f t="shared" si="8"/>
        <v>22.100050676543209</v>
      </c>
      <c r="P13" s="94" t="s">
        <v>25</v>
      </c>
      <c r="Q13" s="94"/>
      <c r="R13" s="94" t="s">
        <v>25</v>
      </c>
      <c r="S13" s="94"/>
      <c r="T13" s="94"/>
      <c r="U13" s="94"/>
      <c r="V13" s="94"/>
      <c r="W13" s="94"/>
    </row>
    <row r="14" spans="1:25">
      <c r="A14" s="189" t="s">
        <v>4848</v>
      </c>
      <c r="B14" s="189">
        <v>236958025</v>
      </c>
      <c r="C14" s="187">
        <v>420</v>
      </c>
      <c r="D14" s="187">
        <f t="shared" si="1"/>
        <v>0.93572873976400861</v>
      </c>
      <c r="E14" s="189">
        <v>850</v>
      </c>
      <c r="F14" s="189">
        <f t="shared" si="2"/>
        <v>1.8937367352366841</v>
      </c>
      <c r="G14" s="219">
        <v>1000</v>
      </c>
      <c r="H14" s="219">
        <f t="shared" si="5"/>
        <v>2.2279255708666872</v>
      </c>
      <c r="I14" s="189"/>
      <c r="J14" s="189">
        <f t="shared" si="3"/>
        <v>0</v>
      </c>
      <c r="K14" s="189">
        <v>7800</v>
      </c>
      <c r="L14" s="189">
        <f t="shared" si="4"/>
        <v>17.377819452760161</v>
      </c>
      <c r="M14" s="94">
        <f t="shared" si="6"/>
        <v>4.9731931172839507</v>
      </c>
      <c r="N14" s="94">
        <f t="shared" si="7"/>
        <v>5.8508154320987655</v>
      </c>
      <c r="O14" s="94">
        <f t="shared" si="8"/>
        <v>2.4573424814814815</v>
      </c>
      <c r="P14" s="94"/>
      <c r="Q14" s="94"/>
      <c r="R14" s="94"/>
      <c r="S14" s="94"/>
      <c r="T14" s="94"/>
      <c r="U14" s="94"/>
      <c r="V14" s="94"/>
      <c r="W14" s="94"/>
    </row>
    <row r="15" spans="1:25">
      <c r="A15" s="260"/>
      <c r="B15" s="260"/>
      <c r="C15" s="260"/>
      <c r="D15" s="260"/>
      <c r="E15" s="260"/>
      <c r="F15" s="260"/>
      <c r="G15" s="260"/>
      <c r="H15" s="260"/>
      <c r="I15" s="260"/>
      <c r="J15" s="260"/>
      <c r="K15" s="260"/>
      <c r="L15" s="260"/>
      <c r="P15" s="94"/>
      <c r="Q15" s="94"/>
      <c r="R15" s="94"/>
      <c r="S15" s="94"/>
      <c r="T15" s="94"/>
      <c r="U15" s="94"/>
      <c r="V15" s="94"/>
      <c r="W15" s="94"/>
    </row>
    <row r="16" spans="1:25" ht="30">
      <c r="A16" s="328" t="s">
        <v>6544</v>
      </c>
      <c r="B16" s="323">
        <v>4113600000</v>
      </c>
      <c r="C16" s="187"/>
      <c r="D16" s="187"/>
      <c r="E16" s="323">
        <v>160</v>
      </c>
      <c r="F16" s="323">
        <f>B16*E16/O2</f>
        <v>9.1413333333333338</v>
      </c>
      <c r="G16" s="187"/>
      <c r="H16" s="187"/>
      <c r="I16" s="187"/>
      <c r="J16" s="187"/>
      <c r="K16" s="187"/>
      <c r="L16" s="187"/>
      <c r="P16" s="94"/>
      <c r="Q16" s="94"/>
      <c r="R16" s="94"/>
      <c r="S16" s="94" t="s">
        <v>25</v>
      </c>
      <c r="T16" s="94"/>
      <c r="U16" s="94"/>
      <c r="V16" s="94"/>
      <c r="W16" s="94"/>
    </row>
    <row r="17" spans="1:34">
      <c r="A17" s="207" t="s">
        <v>5881</v>
      </c>
      <c r="B17" s="207"/>
      <c r="C17" s="187"/>
      <c r="D17" s="187">
        <v>23</v>
      </c>
      <c r="E17" s="189"/>
      <c r="F17" s="189">
        <v>50</v>
      </c>
      <c r="G17" s="219"/>
      <c r="H17" s="219">
        <v>75</v>
      </c>
      <c r="I17" s="207"/>
      <c r="J17" s="207">
        <f t="shared" si="3"/>
        <v>0</v>
      </c>
      <c r="K17" s="97" t="s">
        <v>5416</v>
      </c>
      <c r="L17" s="207">
        <v>350</v>
      </c>
      <c r="P17" s="94"/>
      <c r="Q17" s="94"/>
      <c r="R17" s="94"/>
      <c r="S17" s="94"/>
      <c r="T17" s="94"/>
      <c r="U17" s="94"/>
      <c r="V17" s="94"/>
      <c r="W17" s="94"/>
    </row>
    <row r="18" spans="1:34">
      <c r="A18" s="207"/>
      <c r="B18" s="207"/>
      <c r="C18" s="207"/>
      <c r="D18" s="207" t="s">
        <v>25</v>
      </c>
      <c r="E18" s="207"/>
      <c r="F18" s="207">
        <f>B18*E18*$P$3/$O$2</f>
        <v>0</v>
      </c>
      <c r="G18" s="207"/>
      <c r="H18" s="207"/>
      <c r="I18" s="207"/>
      <c r="J18" s="207">
        <f t="shared" si="3"/>
        <v>0</v>
      </c>
      <c r="K18" s="97" t="s">
        <v>5623</v>
      </c>
      <c r="L18" s="207">
        <v>210</v>
      </c>
      <c r="P18" s="94"/>
      <c r="Q18" s="94"/>
      <c r="R18" s="94"/>
      <c r="S18" s="94"/>
      <c r="T18" s="94"/>
      <c r="U18" s="94"/>
      <c r="V18" s="94"/>
      <c r="W18" s="94"/>
    </row>
    <row r="19" spans="1:34">
      <c r="A19" s="207"/>
      <c r="B19" s="207"/>
      <c r="C19" s="207"/>
      <c r="D19" s="207"/>
      <c r="E19" s="207"/>
      <c r="F19" s="207">
        <f>B19*E19*$P$3/$O$2</f>
        <v>0</v>
      </c>
      <c r="G19" s="207"/>
      <c r="H19" s="207"/>
      <c r="I19" s="207"/>
      <c r="J19" s="207">
        <f t="shared" si="3"/>
        <v>0</v>
      </c>
      <c r="K19" s="97" t="s">
        <v>5417</v>
      </c>
      <c r="L19" s="207">
        <v>350</v>
      </c>
      <c r="N19" t="s">
        <v>25</v>
      </c>
    </row>
    <row r="20" spans="1:34">
      <c r="A20" s="207"/>
      <c r="B20" s="207"/>
      <c r="C20" s="207"/>
      <c r="D20" s="207"/>
      <c r="E20" s="207"/>
      <c r="F20" s="207">
        <f>B20*E20*$P$3/$O$2</f>
        <v>0</v>
      </c>
      <c r="G20" s="207"/>
      <c r="H20" s="207"/>
      <c r="I20" s="207"/>
      <c r="J20" s="207">
        <f t="shared" si="3"/>
        <v>0</v>
      </c>
      <c r="K20" s="207"/>
      <c r="L20" s="207"/>
      <c r="AF20" t="s">
        <v>25</v>
      </c>
    </row>
    <row r="21" spans="1:34">
      <c r="A21" s="207"/>
      <c r="B21" s="207"/>
      <c r="C21" s="207"/>
      <c r="D21" s="207"/>
      <c r="E21" s="207"/>
      <c r="F21" s="207"/>
      <c r="G21" s="207"/>
      <c r="H21" s="207"/>
      <c r="I21" s="207"/>
      <c r="J21" s="207"/>
      <c r="K21" s="207"/>
      <c r="L21" s="207" t="s">
        <v>4438</v>
      </c>
    </row>
    <row r="22" spans="1:34">
      <c r="A22" s="207"/>
      <c r="B22" s="207"/>
      <c r="C22" s="207"/>
      <c r="D22" s="207">
        <f>SUM(D2:D20)</f>
        <v>102.09054999874368</v>
      </c>
      <c r="E22" s="207"/>
      <c r="F22" s="207">
        <f>SUM(F2:F19)</f>
        <v>268.52260535323228</v>
      </c>
      <c r="G22" s="207"/>
      <c r="H22" s="207">
        <f>SUM(H2:H19)</f>
        <v>345.44053127445079</v>
      </c>
      <c r="I22" s="207"/>
      <c r="J22" s="207"/>
      <c r="K22" s="207"/>
      <c r="L22" s="207">
        <f>SUM(L2:L20)</f>
        <v>2764.7932840412032</v>
      </c>
    </row>
    <row r="23" spans="1:34">
      <c r="A23" s="207"/>
      <c r="B23" s="207"/>
      <c r="C23" s="207"/>
      <c r="D23" s="207" t="s">
        <v>6</v>
      </c>
      <c r="E23" s="207"/>
      <c r="F23" s="207" t="s">
        <v>6</v>
      </c>
      <c r="G23" s="207"/>
      <c r="H23" s="207" t="s">
        <v>6</v>
      </c>
      <c r="I23" s="207"/>
      <c r="J23" s="207"/>
      <c r="K23" s="207"/>
      <c r="L23" s="97"/>
    </row>
    <row r="24" spans="1:34">
      <c r="A24" s="207"/>
      <c r="B24" s="207"/>
      <c r="C24" s="207"/>
      <c r="D24" s="207"/>
      <c r="E24" s="207"/>
      <c r="F24" s="207"/>
      <c r="G24" s="207"/>
      <c r="H24" s="207"/>
      <c r="I24" s="207"/>
      <c r="K24" s="207" t="s">
        <v>5028</v>
      </c>
      <c r="L24" s="207" t="s">
        <v>5029</v>
      </c>
    </row>
    <row r="25" spans="1:34">
      <c r="A25" s="207"/>
      <c r="B25" s="207"/>
      <c r="C25" s="207"/>
      <c r="D25" s="207"/>
      <c r="E25" s="207"/>
      <c r="F25" s="207"/>
      <c r="G25" s="207"/>
      <c r="H25" s="207"/>
      <c r="I25" s="207"/>
      <c r="K25" s="207">
        <v>1166</v>
      </c>
      <c r="L25" s="207">
        <f>K25/L22</f>
        <v>0.42173134849911742</v>
      </c>
    </row>
    <row r="26" spans="1:34">
      <c r="O26" t="s">
        <v>4914</v>
      </c>
    </row>
    <row r="27" spans="1:34">
      <c r="O27" s="97" t="s">
        <v>180</v>
      </c>
      <c r="P27" s="97" t="s">
        <v>267</v>
      </c>
      <c r="Q27" s="97" t="s">
        <v>4912</v>
      </c>
      <c r="R27" s="97"/>
      <c r="S27" s="97"/>
      <c r="T27" s="97"/>
      <c r="U27" s="94"/>
      <c r="V27" s="94"/>
      <c r="W27" s="207" t="s">
        <v>6522</v>
      </c>
      <c r="X27" s="207" t="s">
        <v>25</v>
      </c>
      <c r="Y27" s="207"/>
      <c r="Z27" s="207"/>
      <c r="AA27" s="97"/>
      <c r="AB27" s="207" t="s">
        <v>6523</v>
      </c>
      <c r="AC27" s="207"/>
      <c r="AD27" s="207"/>
      <c r="AE27" s="207"/>
      <c r="AF27" s="207"/>
    </row>
    <row r="28" spans="1:34">
      <c r="O28" s="97" t="s">
        <v>4905</v>
      </c>
      <c r="P28" s="18">
        <v>7500000</v>
      </c>
      <c r="Q28" s="97">
        <v>4</v>
      </c>
      <c r="R28" s="97">
        <f>Q28+R29</f>
        <v>706</v>
      </c>
      <c r="S28" s="97">
        <f>P28*R28</f>
        <v>5295000000</v>
      </c>
      <c r="T28" s="97"/>
      <c r="U28" s="94"/>
      <c r="V28" s="94"/>
      <c r="W28" s="207" t="s">
        <v>180</v>
      </c>
      <c r="X28" s="207" t="s">
        <v>267</v>
      </c>
      <c r="Y28" s="207" t="s">
        <v>4034</v>
      </c>
      <c r="Z28" s="41"/>
      <c r="AA28" s="207" t="s">
        <v>282</v>
      </c>
      <c r="AB28" s="207" t="s">
        <v>180</v>
      </c>
      <c r="AC28" s="207" t="s">
        <v>267</v>
      </c>
      <c r="AD28" s="207" t="s">
        <v>4034</v>
      </c>
      <c r="AE28" s="207" t="s">
        <v>282</v>
      </c>
      <c r="AF28" s="207"/>
    </row>
    <row r="29" spans="1:34">
      <c r="C29" s="94" t="s">
        <v>5092</v>
      </c>
      <c r="D29" s="94" t="s">
        <v>5098</v>
      </c>
      <c r="E29" t="s">
        <v>5099</v>
      </c>
      <c r="F29" t="s">
        <v>5101</v>
      </c>
      <c r="G29" t="s">
        <v>5102</v>
      </c>
      <c r="O29" s="97" t="s">
        <v>4911</v>
      </c>
      <c r="P29" s="18">
        <v>-500000</v>
      </c>
      <c r="Q29" s="97">
        <v>7</v>
      </c>
      <c r="R29" s="97">
        <f t="shared" ref="R29:R92" si="9">Q29+R30</f>
        <v>702</v>
      </c>
      <c r="S29" s="97">
        <f t="shared" ref="S29:S92" si="10">P29*R29</f>
        <v>-351000000</v>
      </c>
      <c r="T29" s="97"/>
      <c r="U29" s="94"/>
      <c r="V29" s="94"/>
      <c r="W29" s="207" t="s">
        <v>6493</v>
      </c>
      <c r="X29" s="18">
        <v>55000000</v>
      </c>
      <c r="Y29" s="207">
        <v>1</v>
      </c>
      <c r="Z29" s="207">
        <f>Y29+Z30</f>
        <v>12</v>
      </c>
      <c r="AA29" s="18">
        <f>X29*Z29</f>
        <v>660000000</v>
      </c>
      <c r="AB29" s="207" t="s">
        <v>6521</v>
      </c>
      <c r="AC29" s="18">
        <v>197440000</v>
      </c>
      <c r="AD29" s="207">
        <v>11</v>
      </c>
      <c r="AE29" s="18">
        <f>AC29*AD29</f>
        <v>2171840000</v>
      </c>
      <c r="AF29" s="207"/>
    </row>
    <row r="30" spans="1:34">
      <c r="C30" s="94" t="s">
        <v>5097</v>
      </c>
      <c r="D30" s="94">
        <v>1306</v>
      </c>
      <c r="E30">
        <v>0.53500000000000003</v>
      </c>
      <c r="F30">
        <f t="shared" ref="F30:F36" si="11">D30*E30*$D$41</f>
        <v>698710000</v>
      </c>
      <c r="G30">
        <f>F30*11400/1000000000</f>
        <v>7965.2939999999999</v>
      </c>
      <c r="J30" t="s">
        <v>25</v>
      </c>
      <c r="O30" s="97" t="s">
        <v>4919</v>
      </c>
      <c r="P30" s="18">
        <v>-7000000</v>
      </c>
      <c r="Q30" s="97">
        <v>1</v>
      </c>
      <c r="R30" s="97">
        <f t="shared" si="9"/>
        <v>695</v>
      </c>
      <c r="S30" s="97">
        <f t="shared" si="10"/>
        <v>-4865000000</v>
      </c>
      <c r="T30" s="97"/>
      <c r="U30" s="94"/>
      <c r="V30" s="94"/>
      <c r="W30" s="207" t="s">
        <v>6524</v>
      </c>
      <c r="X30" s="18">
        <v>50000000</v>
      </c>
      <c r="Y30" s="207">
        <v>1</v>
      </c>
      <c r="Z30" s="207">
        <f t="shared" ref="Z30:Z43" si="12">Y30+Z31</f>
        <v>11</v>
      </c>
      <c r="AA30" s="18">
        <f t="shared" ref="AA30:AA43" si="13">X30*Z30</f>
        <v>550000000</v>
      </c>
      <c r="AB30" s="207"/>
      <c r="AC30" s="18"/>
      <c r="AD30" s="207"/>
      <c r="AE30" s="207"/>
      <c r="AF30" s="207"/>
    </row>
    <row r="31" spans="1:34">
      <c r="B31" s="94"/>
      <c r="C31" s="94" t="s">
        <v>5103</v>
      </c>
      <c r="D31" s="94">
        <v>10</v>
      </c>
      <c r="E31" s="94">
        <v>0.5</v>
      </c>
      <c r="F31" s="94">
        <f t="shared" si="11"/>
        <v>5000000</v>
      </c>
      <c r="G31" s="94">
        <f t="shared" ref="G31:G36" si="14">F31*11400/1000000000</f>
        <v>57</v>
      </c>
      <c r="O31" s="97" t="s">
        <v>4922</v>
      </c>
      <c r="P31" s="18">
        <v>2000000</v>
      </c>
      <c r="Q31" s="97">
        <v>6</v>
      </c>
      <c r="R31" s="97">
        <f t="shared" si="9"/>
        <v>694</v>
      </c>
      <c r="S31" s="97">
        <f t="shared" si="10"/>
        <v>1388000000</v>
      </c>
      <c r="T31" s="97"/>
      <c r="U31" s="94"/>
      <c r="V31" s="94"/>
      <c r="W31" s="207" t="s">
        <v>6525</v>
      </c>
      <c r="X31" s="18">
        <v>50000000</v>
      </c>
      <c r="Y31" s="207">
        <v>2</v>
      </c>
      <c r="Z31" s="207">
        <f t="shared" si="12"/>
        <v>10</v>
      </c>
      <c r="AA31" s="18">
        <f t="shared" si="13"/>
        <v>500000000</v>
      </c>
      <c r="AB31" s="207"/>
      <c r="AC31" s="18"/>
      <c r="AD31" s="207"/>
      <c r="AE31" s="207"/>
      <c r="AF31" s="207"/>
      <c r="AH31" t="s">
        <v>25</v>
      </c>
    </row>
    <row r="32" spans="1:34">
      <c r="B32" s="94"/>
      <c r="C32" s="94" t="s">
        <v>5104</v>
      </c>
      <c r="D32" s="94">
        <v>492</v>
      </c>
      <c r="E32" s="94">
        <v>0.65</v>
      </c>
      <c r="F32" s="94">
        <f t="shared" si="11"/>
        <v>319800000</v>
      </c>
      <c r="G32" s="94">
        <f t="shared" si="14"/>
        <v>3645.72</v>
      </c>
      <c r="J32" t="s">
        <v>25</v>
      </c>
      <c r="L32" t="s">
        <v>25</v>
      </c>
      <c r="O32" s="97" t="s">
        <v>4936</v>
      </c>
      <c r="P32" s="18">
        <v>1000000</v>
      </c>
      <c r="Q32" s="97">
        <v>3</v>
      </c>
      <c r="R32" s="97">
        <f t="shared" si="9"/>
        <v>688</v>
      </c>
      <c r="S32" s="97">
        <f t="shared" si="10"/>
        <v>688000000</v>
      </c>
      <c r="T32" s="97"/>
      <c r="U32" s="94"/>
      <c r="V32" s="94"/>
      <c r="W32" s="207" t="s">
        <v>6501</v>
      </c>
      <c r="X32" s="18">
        <v>680000</v>
      </c>
      <c r="Y32" s="207">
        <v>1</v>
      </c>
      <c r="Z32" s="207">
        <f t="shared" si="12"/>
        <v>8</v>
      </c>
      <c r="AA32" s="18">
        <f t="shared" si="13"/>
        <v>5440000</v>
      </c>
      <c r="AB32" s="207"/>
      <c r="AC32" s="18"/>
      <c r="AD32" s="207"/>
      <c r="AE32" s="207"/>
      <c r="AF32" s="207"/>
    </row>
    <row r="33" spans="1:33">
      <c r="A33" t="s">
        <v>5816</v>
      </c>
      <c r="B33" s="94"/>
      <c r="C33" s="94" t="s">
        <v>5105</v>
      </c>
      <c r="D33" s="94">
        <v>235</v>
      </c>
      <c r="E33" s="94">
        <v>1</v>
      </c>
      <c r="F33" s="94">
        <f t="shared" si="11"/>
        <v>235000000</v>
      </c>
      <c r="G33" s="94">
        <f t="shared" si="14"/>
        <v>2679</v>
      </c>
      <c r="O33" s="97" t="s">
        <v>4943</v>
      </c>
      <c r="P33" s="18">
        <v>200000</v>
      </c>
      <c r="Q33" s="97">
        <v>3</v>
      </c>
      <c r="R33" s="97">
        <f t="shared" si="9"/>
        <v>685</v>
      </c>
      <c r="S33" s="97">
        <f t="shared" si="10"/>
        <v>137000000</v>
      </c>
      <c r="T33" s="97"/>
      <c r="U33" s="94"/>
      <c r="V33" s="94"/>
      <c r="W33" s="207" t="s">
        <v>6526</v>
      </c>
      <c r="X33" s="18">
        <v>41483</v>
      </c>
      <c r="Y33" s="207">
        <v>1</v>
      </c>
      <c r="Z33" s="207">
        <f t="shared" si="12"/>
        <v>7</v>
      </c>
      <c r="AA33" s="18">
        <f t="shared" si="13"/>
        <v>290381</v>
      </c>
      <c r="AB33" s="207"/>
      <c r="AC33" s="18"/>
      <c r="AD33" s="207"/>
      <c r="AE33" s="207"/>
      <c r="AF33" s="207"/>
      <c r="AG33" t="s">
        <v>25</v>
      </c>
    </row>
    <row r="34" spans="1:33">
      <c r="A34" s="94" t="s">
        <v>5817</v>
      </c>
      <c r="B34" s="94">
        <v>0.3</v>
      </c>
      <c r="C34" s="94" t="s">
        <v>5106</v>
      </c>
      <c r="D34" s="94">
        <v>500</v>
      </c>
      <c r="E34" s="94">
        <v>0.6</v>
      </c>
      <c r="F34" s="94">
        <f t="shared" si="11"/>
        <v>300000000</v>
      </c>
      <c r="G34" s="94">
        <f t="shared" si="14"/>
        <v>3420</v>
      </c>
      <c r="O34" s="97" t="s">
        <v>4946</v>
      </c>
      <c r="P34" s="18">
        <v>-3200000</v>
      </c>
      <c r="Q34" s="97">
        <v>6</v>
      </c>
      <c r="R34" s="97">
        <f t="shared" si="9"/>
        <v>682</v>
      </c>
      <c r="S34" s="97">
        <f t="shared" si="10"/>
        <v>-2182400000</v>
      </c>
      <c r="T34" s="97"/>
      <c r="U34" s="94"/>
      <c r="V34" s="94"/>
      <c r="W34" s="207" t="s">
        <v>6527</v>
      </c>
      <c r="X34" s="18">
        <v>40000000</v>
      </c>
      <c r="Y34" s="207">
        <v>6</v>
      </c>
      <c r="Z34" s="207">
        <f t="shared" si="12"/>
        <v>6</v>
      </c>
      <c r="AA34" s="18">
        <f t="shared" si="13"/>
        <v>240000000</v>
      </c>
      <c r="AB34" s="207"/>
      <c r="AC34" s="18"/>
      <c r="AD34" s="207"/>
      <c r="AE34" s="207"/>
      <c r="AF34" s="207"/>
    </row>
    <row r="35" spans="1:33">
      <c r="A35" s="94" t="s">
        <v>5311</v>
      </c>
      <c r="B35" s="18">
        <v>36000000000000</v>
      </c>
      <c r="C35" s="94" t="s">
        <v>5107</v>
      </c>
      <c r="D35" s="94">
        <v>903</v>
      </c>
      <c r="E35" s="94">
        <v>1</v>
      </c>
      <c r="F35" s="94">
        <f t="shared" si="11"/>
        <v>903000000</v>
      </c>
      <c r="G35" s="94">
        <f>F35*11400/1000000000</f>
        <v>10294.200000000001</v>
      </c>
      <c r="H35">
        <v>1</v>
      </c>
      <c r="O35" s="97" t="s">
        <v>4958</v>
      </c>
      <c r="P35" s="18">
        <v>6000000</v>
      </c>
      <c r="Q35" s="97">
        <v>1</v>
      </c>
      <c r="R35" s="97">
        <f t="shared" si="9"/>
        <v>676</v>
      </c>
      <c r="S35" s="97">
        <f t="shared" si="10"/>
        <v>4056000000</v>
      </c>
      <c r="T35" s="97"/>
      <c r="U35" s="94"/>
      <c r="V35" s="94"/>
      <c r="W35" s="207"/>
      <c r="X35" s="18"/>
      <c r="Y35" s="207"/>
      <c r="Z35" s="207">
        <f t="shared" si="12"/>
        <v>0</v>
      </c>
      <c r="AA35" s="18">
        <f t="shared" si="13"/>
        <v>0</v>
      </c>
      <c r="AB35" s="207"/>
      <c r="AC35" s="18"/>
      <c r="AD35" s="207"/>
      <c r="AE35" s="207"/>
      <c r="AF35" s="207"/>
    </row>
    <row r="36" spans="1:33">
      <c r="A36" s="120" t="s">
        <v>4835</v>
      </c>
      <c r="B36" s="94">
        <v>18000000000</v>
      </c>
      <c r="E36" s="94"/>
      <c r="F36" s="94">
        <f t="shared" si="11"/>
        <v>0</v>
      </c>
      <c r="G36" s="94">
        <f t="shared" si="14"/>
        <v>0</v>
      </c>
      <c r="O36" s="97" t="s">
        <v>4959</v>
      </c>
      <c r="P36" s="18">
        <v>2000000</v>
      </c>
      <c r="Q36" s="97">
        <v>3</v>
      </c>
      <c r="R36" s="97">
        <f t="shared" si="9"/>
        <v>675</v>
      </c>
      <c r="S36" s="97">
        <f t="shared" si="10"/>
        <v>1350000000</v>
      </c>
      <c r="T36" s="97"/>
      <c r="U36" s="94"/>
      <c r="V36" s="94"/>
      <c r="W36" s="207"/>
      <c r="X36" s="18"/>
      <c r="Y36" s="207"/>
      <c r="Z36" s="207">
        <f t="shared" si="12"/>
        <v>0</v>
      </c>
      <c r="AA36" s="18">
        <f t="shared" si="13"/>
        <v>0</v>
      </c>
      <c r="AB36" s="207"/>
      <c r="AC36" s="18"/>
      <c r="AD36" s="207"/>
      <c r="AE36" s="207"/>
      <c r="AF36" s="207"/>
    </row>
    <row r="37" spans="1:33">
      <c r="A37" s="120" t="s">
        <v>5818</v>
      </c>
      <c r="B37" s="18">
        <f>B34*B35/B36</f>
        <v>600</v>
      </c>
      <c r="E37" s="94"/>
      <c r="F37" s="94"/>
      <c r="G37" s="94"/>
      <c r="O37" s="97" t="s">
        <v>4966</v>
      </c>
      <c r="P37" s="18">
        <v>-50000</v>
      </c>
      <c r="Q37" s="97">
        <v>7</v>
      </c>
      <c r="R37" s="97">
        <f t="shared" si="9"/>
        <v>672</v>
      </c>
      <c r="S37" s="97">
        <f t="shared" si="10"/>
        <v>-33600000</v>
      </c>
      <c r="T37" s="97"/>
      <c r="U37" s="94"/>
      <c r="V37" s="94"/>
      <c r="W37" s="207"/>
      <c r="X37" s="18"/>
      <c r="Y37" s="207"/>
      <c r="Z37" s="207">
        <f t="shared" si="12"/>
        <v>0</v>
      </c>
      <c r="AA37" s="18">
        <f t="shared" si="13"/>
        <v>0</v>
      </c>
      <c r="AB37" s="207"/>
      <c r="AC37" s="18"/>
      <c r="AD37" s="207"/>
      <c r="AE37" s="207"/>
      <c r="AF37" s="207"/>
    </row>
    <row r="38" spans="1:33">
      <c r="A38" s="120" t="s">
        <v>5819</v>
      </c>
      <c r="B38" s="120">
        <v>872000000</v>
      </c>
      <c r="E38" s="94"/>
      <c r="F38" s="94"/>
      <c r="G38" s="94"/>
      <c r="O38" s="97" t="s">
        <v>4972</v>
      </c>
      <c r="P38" s="18">
        <v>-2480000</v>
      </c>
      <c r="Q38" s="97">
        <v>5</v>
      </c>
      <c r="R38" s="97">
        <f t="shared" si="9"/>
        <v>665</v>
      </c>
      <c r="S38" s="97">
        <f t="shared" si="10"/>
        <v>-1649200000</v>
      </c>
      <c r="T38" s="97"/>
      <c r="U38" s="94"/>
      <c r="V38" s="94"/>
      <c r="W38" s="207"/>
      <c r="X38" s="18"/>
      <c r="Y38" s="207"/>
      <c r="Z38" s="207">
        <f t="shared" si="12"/>
        <v>0</v>
      </c>
      <c r="AA38" s="18">
        <f t="shared" si="13"/>
        <v>0</v>
      </c>
      <c r="AB38" s="207"/>
      <c r="AC38" s="18"/>
      <c r="AD38" s="207"/>
      <c r="AE38" s="207"/>
      <c r="AF38" s="207"/>
    </row>
    <row r="39" spans="1:33">
      <c r="A39" s="120" t="s">
        <v>5820</v>
      </c>
      <c r="B39" s="18">
        <v>750</v>
      </c>
      <c r="E39" s="94"/>
      <c r="F39" s="94"/>
      <c r="O39" s="97" t="s">
        <v>4980</v>
      </c>
      <c r="P39" s="18">
        <v>300000</v>
      </c>
      <c r="Q39" s="97">
        <v>1</v>
      </c>
      <c r="R39" s="97">
        <f t="shared" si="9"/>
        <v>660</v>
      </c>
      <c r="S39" s="97">
        <f t="shared" si="10"/>
        <v>198000000</v>
      </c>
      <c r="T39" s="97"/>
      <c r="U39" s="94"/>
      <c r="V39" s="94"/>
      <c r="W39" s="207"/>
      <c r="X39" s="18" t="s">
        <v>25</v>
      </c>
      <c r="Y39" s="207"/>
      <c r="Z39" s="207">
        <f t="shared" si="12"/>
        <v>0</v>
      </c>
      <c r="AA39" s="18" t="e">
        <f t="shared" si="13"/>
        <v>#VALUE!</v>
      </c>
      <c r="AB39" s="207"/>
      <c r="AC39" s="18"/>
      <c r="AD39" s="207"/>
      <c r="AE39" s="207"/>
      <c r="AF39" s="207"/>
    </row>
    <row r="40" spans="1:33">
      <c r="A40" s="120" t="s">
        <v>5821</v>
      </c>
      <c r="B40" s="94">
        <f>B38*B39/B36</f>
        <v>36.333333333333336</v>
      </c>
      <c r="C40" s="94" t="s">
        <v>5093</v>
      </c>
      <c r="D40" s="94" t="s">
        <v>5094</v>
      </c>
      <c r="E40" s="94"/>
      <c r="F40" s="94"/>
      <c r="O40" s="97" t="s">
        <v>4213</v>
      </c>
      <c r="P40" s="18">
        <v>300000</v>
      </c>
      <c r="Q40" s="97">
        <v>6</v>
      </c>
      <c r="R40" s="97">
        <f t="shared" si="9"/>
        <v>659</v>
      </c>
      <c r="S40" s="97">
        <f t="shared" si="10"/>
        <v>197700000</v>
      </c>
      <c r="T40" s="97"/>
      <c r="U40" s="94"/>
      <c r="V40" s="94"/>
      <c r="W40" s="207"/>
      <c r="X40" s="18"/>
      <c r="Y40" s="207"/>
      <c r="Z40" s="207">
        <f t="shared" si="12"/>
        <v>0</v>
      </c>
      <c r="AA40" s="18">
        <f t="shared" si="13"/>
        <v>0</v>
      </c>
      <c r="AB40" s="207"/>
      <c r="AC40" s="18"/>
      <c r="AD40" s="207"/>
      <c r="AE40" s="207"/>
      <c r="AF40" s="207"/>
    </row>
    <row r="41" spans="1:33">
      <c r="A41" s="120"/>
      <c r="B41" s="120"/>
      <c r="C41" s="94" t="s">
        <v>5100</v>
      </c>
      <c r="D41" s="94">
        <v>1000000</v>
      </c>
      <c r="E41" s="94"/>
      <c r="F41" s="94"/>
      <c r="O41" s="97" t="s">
        <v>4989</v>
      </c>
      <c r="P41" s="18">
        <v>500000</v>
      </c>
      <c r="Q41" s="97">
        <v>2</v>
      </c>
      <c r="R41" s="97">
        <f t="shared" si="9"/>
        <v>653</v>
      </c>
      <c r="S41" s="97">
        <f t="shared" si="10"/>
        <v>326500000</v>
      </c>
      <c r="T41" s="97"/>
      <c r="U41" s="94"/>
      <c r="V41" s="94"/>
      <c r="W41" s="207"/>
      <c r="X41" s="18"/>
      <c r="Y41" s="207"/>
      <c r="Z41" s="207">
        <f t="shared" si="12"/>
        <v>0</v>
      </c>
      <c r="AA41" s="18">
        <f t="shared" si="13"/>
        <v>0</v>
      </c>
      <c r="AB41" s="207"/>
      <c r="AC41" s="18"/>
      <c r="AD41" s="207"/>
      <c r="AE41" s="207"/>
      <c r="AF41" s="207"/>
    </row>
    <row r="42" spans="1:33">
      <c r="A42" s="120"/>
      <c r="B42" s="18"/>
      <c r="C42" s="94" t="s">
        <v>5095</v>
      </c>
      <c r="D42" s="94" t="s">
        <v>5096</v>
      </c>
      <c r="E42" s="94"/>
      <c r="F42" s="94"/>
      <c r="O42" s="97" t="s">
        <v>4995</v>
      </c>
      <c r="P42" s="18">
        <v>100000</v>
      </c>
      <c r="Q42" s="97">
        <v>1</v>
      </c>
      <c r="R42" s="97">
        <f t="shared" si="9"/>
        <v>651</v>
      </c>
      <c r="S42" s="97">
        <f t="shared" si="10"/>
        <v>65100000</v>
      </c>
      <c r="T42" s="97"/>
      <c r="U42" s="94"/>
      <c r="V42" s="94"/>
      <c r="W42" s="207"/>
      <c r="X42" s="18" t="s">
        <v>25</v>
      </c>
      <c r="Y42" s="207"/>
      <c r="Z42" s="207">
        <f t="shared" si="12"/>
        <v>0</v>
      </c>
      <c r="AA42" s="18" t="e">
        <f t="shared" si="13"/>
        <v>#VALUE!</v>
      </c>
      <c r="AB42" s="207"/>
      <c r="AC42" s="18"/>
      <c r="AD42" s="207"/>
      <c r="AE42" s="207"/>
      <c r="AF42" s="207"/>
    </row>
    <row r="43" spans="1:33">
      <c r="A43" s="120"/>
      <c r="B43" s="94"/>
      <c r="E43" s="94"/>
      <c r="F43" s="94"/>
      <c r="O43" s="97" t="s">
        <v>4996</v>
      </c>
      <c r="P43" s="18">
        <v>-6423626</v>
      </c>
      <c r="Q43" s="97">
        <v>1</v>
      </c>
      <c r="R43" s="97">
        <f t="shared" si="9"/>
        <v>650</v>
      </c>
      <c r="S43" s="97">
        <f t="shared" si="10"/>
        <v>-4175356900</v>
      </c>
      <c r="T43" s="97"/>
      <c r="U43" s="94"/>
      <c r="V43" s="94"/>
      <c r="W43" s="207"/>
      <c r="X43" s="207"/>
      <c r="Y43" s="207"/>
      <c r="Z43" s="207">
        <f t="shared" si="12"/>
        <v>0</v>
      </c>
      <c r="AA43" s="18">
        <f t="shared" si="13"/>
        <v>0</v>
      </c>
      <c r="AB43" s="207"/>
      <c r="AC43" s="207"/>
      <c r="AD43" s="207"/>
      <c r="AE43" s="207"/>
      <c r="AF43" s="207"/>
    </row>
    <row r="44" spans="1:33">
      <c r="A44" s="94"/>
      <c r="B44" s="94"/>
      <c r="E44" s="94"/>
      <c r="F44" s="94"/>
      <c r="O44" s="97" t="s">
        <v>4999</v>
      </c>
      <c r="P44" s="18">
        <v>-4592486</v>
      </c>
      <c r="Q44" s="97">
        <v>0</v>
      </c>
      <c r="R44" s="97">
        <f t="shared" si="9"/>
        <v>649</v>
      </c>
      <c r="S44" s="97">
        <f t="shared" si="10"/>
        <v>-2980523414</v>
      </c>
      <c r="T44" s="97"/>
      <c r="U44" s="94"/>
      <c r="V44" s="94"/>
      <c r="W44" s="207"/>
      <c r="X44" s="207"/>
      <c r="Y44" s="207"/>
      <c r="Z44" s="207"/>
      <c r="AA44" s="18"/>
      <c r="AB44" s="207"/>
      <c r="AC44" s="207"/>
      <c r="AD44" s="207"/>
      <c r="AE44" s="207"/>
      <c r="AF44" s="207"/>
    </row>
    <row r="45" spans="1:33">
      <c r="A45" s="94"/>
      <c r="B45" s="94"/>
      <c r="E45" s="94"/>
      <c r="F45" s="94"/>
      <c r="O45" s="97" t="s">
        <v>4999</v>
      </c>
      <c r="P45" s="18">
        <v>4346112</v>
      </c>
      <c r="Q45" s="97">
        <v>11</v>
      </c>
      <c r="R45" s="97">
        <f t="shared" si="9"/>
        <v>649</v>
      </c>
      <c r="S45" s="97">
        <f t="shared" si="10"/>
        <v>2820626688</v>
      </c>
      <c r="T45" s="97"/>
      <c r="U45" s="94"/>
      <c r="V45" s="94"/>
      <c r="W45" s="207"/>
      <c r="X45" s="207"/>
      <c r="Y45" s="207"/>
      <c r="Z45" s="207"/>
      <c r="AA45" s="18"/>
      <c r="AB45" s="207"/>
      <c r="AC45" s="207"/>
      <c r="AD45" s="207"/>
      <c r="AE45" s="207"/>
      <c r="AF45" s="207"/>
    </row>
    <row r="46" spans="1:33">
      <c r="A46" s="94"/>
      <c r="B46" s="94"/>
      <c r="E46" s="94"/>
      <c r="F46" s="94"/>
      <c r="O46" s="97" t="s">
        <v>5012</v>
      </c>
      <c r="P46" s="18">
        <v>1500000</v>
      </c>
      <c r="Q46" s="97">
        <v>16</v>
      </c>
      <c r="R46" s="97">
        <f t="shared" si="9"/>
        <v>638</v>
      </c>
      <c r="S46" s="97">
        <f t="shared" si="10"/>
        <v>957000000</v>
      </c>
      <c r="T46" s="97"/>
      <c r="U46" s="94"/>
      <c r="V46" s="94"/>
      <c r="W46" s="207"/>
      <c r="X46" s="207"/>
      <c r="Y46" s="207"/>
      <c r="Z46" s="207"/>
      <c r="AA46" s="18">
        <f>SUM(AA29:AA35)</f>
        <v>1955730381</v>
      </c>
      <c r="AB46" s="207"/>
      <c r="AC46" s="207"/>
      <c r="AD46" s="207"/>
      <c r="AE46" s="207"/>
      <c r="AF46" s="207"/>
    </row>
    <row r="47" spans="1:33">
      <c r="A47" s="94"/>
      <c r="B47" s="94" t="s">
        <v>4835</v>
      </c>
      <c r="C47" s="94" t="s">
        <v>4248</v>
      </c>
      <c r="D47" s="94" t="s">
        <v>4422</v>
      </c>
      <c r="E47" s="94" t="s">
        <v>5098</v>
      </c>
      <c r="F47" s="94" t="s">
        <v>5406</v>
      </c>
      <c r="O47" s="97" t="s">
        <v>5002</v>
      </c>
      <c r="P47" s="18">
        <v>6000000</v>
      </c>
      <c r="Q47" s="97">
        <v>8</v>
      </c>
      <c r="R47" s="97">
        <f t="shared" si="9"/>
        <v>622</v>
      </c>
      <c r="S47" s="97">
        <f t="shared" si="10"/>
        <v>3732000000</v>
      </c>
      <c r="T47" s="97"/>
      <c r="U47" s="94"/>
      <c r="V47" s="94"/>
    </row>
    <row r="48" spans="1:33">
      <c r="A48" s="94" t="s">
        <v>4845</v>
      </c>
      <c r="B48" s="94">
        <v>6</v>
      </c>
      <c r="C48" s="94">
        <v>4125</v>
      </c>
      <c r="D48" s="94">
        <f>B48*C48</f>
        <v>24750</v>
      </c>
      <c r="E48" s="94">
        <v>3</v>
      </c>
      <c r="F48" s="94">
        <f>D48/E48</f>
        <v>8250</v>
      </c>
      <c r="O48" s="97" t="s">
        <v>5052</v>
      </c>
      <c r="P48" s="18">
        <v>-50000</v>
      </c>
      <c r="Q48" s="97">
        <v>3</v>
      </c>
      <c r="R48" s="97">
        <f t="shared" si="9"/>
        <v>614</v>
      </c>
      <c r="S48" s="97">
        <f t="shared" si="10"/>
        <v>-30700000</v>
      </c>
      <c r="T48" s="97"/>
      <c r="U48" s="94"/>
      <c r="V48" s="94"/>
    </row>
    <row r="49" spans="1:22">
      <c r="A49" s="94" t="s">
        <v>4508</v>
      </c>
      <c r="B49" s="94">
        <v>9</v>
      </c>
      <c r="C49" s="94">
        <v>439</v>
      </c>
      <c r="D49" s="94">
        <f>B49*C49</f>
        <v>3951</v>
      </c>
      <c r="E49" s="94">
        <v>1.073</v>
      </c>
      <c r="F49" s="94">
        <f>D49/E49</f>
        <v>3682.1994408201308</v>
      </c>
      <c r="N49" t="s">
        <v>25</v>
      </c>
      <c r="O49" s="97" t="s">
        <v>5055</v>
      </c>
      <c r="P49" s="18">
        <v>-20000</v>
      </c>
      <c r="Q49" s="97">
        <v>7</v>
      </c>
      <c r="R49" s="97">
        <f t="shared" si="9"/>
        <v>611</v>
      </c>
      <c r="S49" s="97">
        <f t="shared" si="10"/>
        <v>-12220000</v>
      </c>
      <c r="T49" s="97"/>
      <c r="U49" s="94"/>
      <c r="V49" s="94"/>
    </row>
    <row r="50" spans="1:22">
      <c r="A50" s="94"/>
      <c r="B50" s="94"/>
      <c r="E50" s="94"/>
      <c r="F50" s="94"/>
      <c r="O50" s="97" t="s">
        <v>5014</v>
      </c>
      <c r="P50" s="18">
        <v>6000000</v>
      </c>
      <c r="Q50" s="97">
        <v>1</v>
      </c>
      <c r="R50" s="97">
        <f t="shared" si="9"/>
        <v>604</v>
      </c>
      <c r="S50" s="97">
        <f t="shared" si="10"/>
        <v>3624000000</v>
      </c>
      <c r="T50" s="97"/>
      <c r="U50" s="94"/>
      <c r="V50" s="94"/>
    </row>
    <row r="51" spans="1:22">
      <c r="A51" s="94"/>
      <c r="B51" s="94"/>
      <c r="E51" s="94"/>
      <c r="F51" s="94"/>
      <c r="O51" s="97" t="s">
        <v>5071</v>
      </c>
      <c r="P51" s="18">
        <v>-2302282</v>
      </c>
      <c r="Q51" s="97">
        <v>6</v>
      </c>
      <c r="R51" s="97">
        <f t="shared" si="9"/>
        <v>603</v>
      </c>
      <c r="S51" s="97">
        <f t="shared" si="10"/>
        <v>-1388276046</v>
      </c>
      <c r="T51" s="97"/>
      <c r="U51" s="94"/>
      <c r="V51" s="94"/>
    </row>
    <row r="52" spans="1:22">
      <c r="A52" s="94"/>
      <c r="B52" s="94"/>
      <c r="E52" s="94"/>
      <c r="F52" s="94"/>
      <c r="O52" s="97" t="s">
        <v>5076</v>
      </c>
      <c r="P52" s="18">
        <v>100000</v>
      </c>
      <c r="Q52" s="97">
        <v>1</v>
      </c>
      <c r="R52" s="97">
        <f t="shared" si="9"/>
        <v>597</v>
      </c>
      <c r="S52" s="97">
        <f t="shared" si="10"/>
        <v>59700000</v>
      </c>
      <c r="T52" s="97"/>
      <c r="U52" s="94"/>
      <c r="V52" s="94"/>
    </row>
    <row r="53" spans="1:22">
      <c r="A53" s="94"/>
      <c r="B53" s="94"/>
      <c r="E53" s="94"/>
      <c r="F53" s="94"/>
      <c r="O53" s="97" t="s">
        <v>5079</v>
      </c>
      <c r="P53" s="18">
        <v>-1727718</v>
      </c>
      <c r="Q53" s="97">
        <v>2</v>
      </c>
      <c r="R53" s="97">
        <f t="shared" si="9"/>
        <v>596</v>
      </c>
      <c r="S53" s="97">
        <f t="shared" si="10"/>
        <v>-1029719928</v>
      </c>
      <c r="T53" s="97"/>
      <c r="U53" s="94"/>
      <c r="V53" s="94"/>
    </row>
    <row r="54" spans="1:22">
      <c r="A54" s="94" t="s">
        <v>5843</v>
      </c>
      <c r="B54" s="94"/>
      <c r="E54" s="94"/>
      <c r="F54" s="94"/>
      <c r="K54" t="s">
        <v>25</v>
      </c>
      <c r="M54" t="s">
        <v>25</v>
      </c>
      <c r="O54" s="97" t="s">
        <v>5083</v>
      </c>
      <c r="P54" s="18">
        <v>-1000000</v>
      </c>
      <c r="Q54" s="97">
        <v>0</v>
      </c>
      <c r="R54" s="97">
        <f t="shared" si="9"/>
        <v>594</v>
      </c>
      <c r="S54" s="97">
        <f t="shared" si="10"/>
        <v>-594000000</v>
      </c>
      <c r="T54" s="97"/>
      <c r="U54" s="94"/>
      <c r="V54" s="94"/>
    </row>
    <row r="55" spans="1:22">
      <c r="A55" s="94" t="s">
        <v>5835</v>
      </c>
      <c r="B55" s="94"/>
      <c r="E55" s="94"/>
      <c r="F55" s="94"/>
      <c r="M55" t="s">
        <v>25</v>
      </c>
      <c r="O55" s="97" t="s">
        <v>5083</v>
      </c>
      <c r="P55" s="18">
        <v>-439200</v>
      </c>
      <c r="Q55" s="97">
        <v>1</v>
      </c>
      <c r="R55" s="97">
        <f t="shared" si="9"/>
        <v>594</v>
      </c>
      <c r="S55" s="97">
        <f t="shared" si="10"/>
        <v>-260884800</v>
      </c>
      <c r="T55" s="97"/>
      <c r="U55" s="94"/>
      <c r="V55" s="94"/>
    </row>
    <row r="56" spans="1:22">
      <c r="A56" s="94" t="s">
        <v>5836</v>
      </c>
      <c r="B56" s="94"/>
      <c r="E56" s="94"/>
      <c r="F56" s="94"/>
      <c r="O56" s="97" t="s">
        <v>5086</v>
      </c>
      <c r="P56" s="18">
        <v>-3631879</v>
      </c>
      <c r="Q56" s="97">
        <v>3</v>
      </c>
      <c r="R56" s="97">
        <f t="shared" si="9"/>
        <v>593</v>
      </c>
      <c r="S56" s="97">
        <f t="shared" si="10"/>
        <v>-2153704247</v>
      </c>
      <c r="T56" s="97"/>
      <c r="U56" s="94"/>
      <c r="V56" s="94"/>
    </row>
    <row r="57" spans="1:22">
      <c r="A57" t="s">
        <v>5844</v>
      </c>
      <c r="B57" s="94"/>
      <c r="E57" s="94"/>
      <c r="F57" s="94"/>
      <c r="O57" s="97" t="s">
        <v>5111</v>
      </c>
      <c r="P57" s="18">
        <v>-2428921</v>
      </c>
      <c r="Q57" s="97">
        <v>9</v>
      </c>
      <c r="R57" s="97">
        <f t="shared" si="9"/>
        <v>590</v>
      </c>
      <c r="S57" s="97">
        <f t="shared" si="10"/>
        <v>-1433063390</v>
      </c>
      <c r="T57" s="97"/>
      <c r="U57" s="94"/>
      <c r="V57" s="94"/>
    </row>
    <row r="58" spans="1:22">
      <c r="A58" t="s">
        <v>5511</v>
      </c>
      <c r="B58" s="94"/>
      <c r="E58" s="94"/>
      <c r="F58" s="94"/>
      <c r="O58" s="97" t="s">
        <v>5130</v>
      </c>
      <c r="P58" s="18">
        <v>-500000</v>
      </c>
      <c r="Q58" s="97">
        <v>1</v>
      </c>
      <c r="R58" s="97">
        <f t="shared" si="9"/>
        <v>581</v>
      </c>
      <c r="S58" s="97">
        <f t="shared" si="10"/>
        <v>-290500000</v>
      </c>
      <c r="T58" s="97"/>
      <c r="U58" s="94"/>
      <c r="V58" s="94"/>
    </row>
    <row r="59" spans="1:22">
      <c r="A59" s="94" t="s">
        <v>4848</v>
      </c>
      <c r="B59" s="94"/>
      <c r="E59" s="94"/>
      <c r="F59" s="94"/>
      <c r="O59" s="97" t="s">
        <v>5131</v>
      </c>
      <c r="P59" s="18">
        <v>-2603</v>
      </c>
      <c r="Q59" s="97">
        <v>0</v>
      </c>
      <c r="R59" s="97">
        <f t="shared" si="9"/>
        <v>580</v>
      </c>
      <c r="S59" s="97">
        <f t="shared" si="10"/>
        <v>-1509740</v>
      </c>
      <c r="T59" s="97" t="s">
        <v>5132</v>
      </c>
      <c r="U59" s="94"/>
      <c r="V59" s="94"/>
    </row>
    <row r="60" spans="1:22">
      <c r="A60" s="94" t="s">
        <v>4846</v>
      </c>
      <c r="B60" s="94"/>
      <c r="E60" s="94"/>
      <c r="F60" s="94"/>
      <c r="O60" s="97" t="s">
        <v>5131</v>
      </c>
      <c r="P60" s="18">
        <v>-250000</v>
      </c>
      <c r="Q60" s="97">
        <v>7</v>
      </c>
      <c r="R60" s="97">
        <f t="shared" si="9"/>
        <v>580</v>
      </c>
      <c r="S60" s="97">
        <f t="shared" si="10"/>
        <v>-145000000</v>
      </c>
      <c r="T60" s="97"/>
      <c r="U60" s="94"/>
      <c r="V60" s="94"/>
    </row>
    <row r="61" spans="1:22">
      <c r="A61" s="94" t="s">
        <v>5838</v>
      </c>
      <c r="B61" s="94"/>
      <c r="C61" s="94" t="s">
        <v>25</v>
      </c>
      <c r="E61" s="94"/>
      <c r="F61" s="94"/>
      <c r="O61" s="97" t="s">
        <v>4256</v>
      </c>
      <c r="P61" s="18">
        <v>185749</v>
      </c>
      <c r="Q61" s="97">
        <v>5</v>
      </c>
      <c r="R61" s="97">
        <f t="shared" si="9"/>
        <v>573</v>
      </c>
      <c r="S61" s="97">
        <f t="shared" si="10"/>
        <v>106434177</v>
      </c>
      <c r="T61" s="97"/>
      <c r="U61" s="94"/>
      <c r="V61" s="94"/>
    </row>
    <row r="62" spans="1:22">
      <c r="A62" s="94" t="s">
        <v>5839</v>
      </c>
      <c r="B62" s="94"/>
      <c r="E62" s="94"/>
      <c r="F62" s="94"/>
      <c r="O62" s="97" t="s">
        <v>5145</v>
      </c>
      <c r="P62" s="18">
        <v>300000</v>
      </c>
      <c r="Q62" s="97">
        <v>3</v>
      </c>
      <c r="R62" s="97">
        <f t="shared" si="9"/>
        <v>568</v>
      </c>
      <c r="S62" s="97">
        <f t="shared" si="10"/>
        <v>170400000</v>
      </c>
      <c r="T62" s="97"/>
      <c r="U62" s="94"/>
      <c r="V62" s="94"/>
    </row>
    <row r="63" spans="1:22">
      <c r="A63" t="s">
        <v>5855</v>
      </c>
      <c r="B63" s="94"/>
      <c r="E63" s="94"/>
      <c r="F63" s="94"/>
      <c r="O63" s="97" t="s">
        <v>5151</v>
      </c>
      <c r="P63" s="18">
        <v>-50000</v>
      </c>
      <c r="Q63" s="97">
        <v>3</v>
      </c>
      <c r="R63" s="97">
        <f t="shared" si="9"/>
        <v>565</v>
      </c>
      <c r="S63" s="97">
        <f t="shared" si="10"/>
        <v>-28250000</v>
      </c>
      <c r="T63" s="97"/>
      <c r="U63" s="94"/>
      <c r="V63" s="94"/>
    </row>
    <row r="64" spans="1:22">
      <c r="A64" t="s">
        <v>4481</v>
      </c>
      <c r="B64" s="94"/>
      <c r="E64" s="94"/>
      <c r="F64" s="94"/>
      <c r="O64" s="97" t="s">
        <v>5156</v>
      </c>
      <c r="P64" s="18">
        <v>-1683146</v>
      </c>
      <c r="Q64" s="97">
        <v>10</v>
      </c>
      <c r="R64" s="97">
        <f t="shared" si="9"/>
        <v>562</v>
      </c>
      <c r="S64" s="97">
        <f t="shared" si="10"/>
        <v>-945928052</v>
      </c>
      <c r="T64" s="97"/>
      <c r="U64" s="94"/>
      <c r="V64" s="94"/>
    </row>
    <row r="65" spans="1:23">
      <c r="A65" s="94" t="s">
        <v>4508</v>
      </c>
      <c r="B65" s="94"/>
      <c r="E65" s="94"/>
      <c r="F65" s="94"/>
      <c r="O65" s="97" t="s">
        <v>5168</v>
      </c>
      <c r="P65" s="18">
        <v>700000</v>
      </c>
      <c r="Q65" s="97">
        <v>18</v>
      </c>
      <c r="R65" s="97">
        <f t="shared" si="9"/>
        <v>552</v>
      </c>
      <c r="S65" s="97">
        <f t="shared" si="10"/>
        <v>386400000</v>
      </c>
      <c r="T65" s="97"/>
      <c r="U65" s="94"/>
      <c r="V65" s="94"/>
    </row>
    <row r="66" spans="1:23">
      <c r="A66" s="94"/>
      <c r="B66" s="94"/>
      <c r="C66" s="94" t="s">
        <v>25</v>
      </c>
      <c r="E66" s="94"/>
      <c r="F66" s="94"/>
      <c r="O66" s="97" t="s">
        <v>5181</v>
      </c>
      <c r="P66" s="18">
        <v>-700000</v>
      </c>
      <c r="Q66" s="97">
        <v>46</v>
      </c>
      <c r="R66" s="97">
        <f t="shared" si="9"/>
        <v>534</v>
      </c>
      <c r="S66" s="97">
        <f t="shared" si="10"/>
        <v>-373800000</v>
      </c>
      <c r="T66" s="97"/>
    </row>
    <row r="67" spans="1:23">
      <c r="B67" s="94"/>
      <c r="E67" s="94"/>
      <c r="F67" s="94"/>
      <c r="O67" s="97" t="s">
        <v>5231</v>
      </c>
      <c r="P67" s="18">
        <v>1000000</v>
      </c>
      <c r="Q67" s="97">
        <v>4</v>
      </c>
      <c r="R67" s="97">
        <f t="shared" si="9"/>
        <v>488</v>
      </c>
      <c r="S67" s="97">
        <f t="shared" si="10"/>
        <v>488000000</v>
      </c>
      <c r="T67" s="97"/>
    </row>
    <row r="68" spans="1:23">
      <c r="A68" s="94" t="s">
        <v>5837</v>
      </c>
      <c r="B68" s="94"/>
      <c r="E68" s="94"/>
      <c r="F68" s="94"/>
      <c r="O68" s="97" t="s">
        <v>5235</v>
      </c>
      <c r="P68" s="18">
        <v>1500000</v>
      </c>
      <c r="Q68" s="97">
        <v>1</v>
      </c>
      <c r="R68" s="97">
        <f t="shared" si="9"/>
        <v>484</v>
      </c>
      <c r="S68" s="97">
        <f t="shared" si="10"/>
        <v>726000000</v>
      </c>
      <c r="T68" s="97"/>
    </row>
    <row r="69" spans="1:23">
      <c r="A69" s="94" t="s">
        <v>5280</v>
      </c>
      <c r="B69" s="94"/>
      <c r="E69" s="94"/>
      <c r="F69" s="94"/>
      <c r="O69" s="97" t="s">
        <v>5236</v>
      </c>
      <c r="P69" s="18">
        <v>-1500000</v>
      </c>
      <c r="Q69" s="97">
        <v>15</v>
      </c>
      <c r="R69" s="97">
        <f t="shared" si="9"/>
        <v>483</v>
      </c>
      <c r="S69" s="97">
        <f t="shared" si="10"/>
        <v>-724500000</v>
      </c>
      <c r="T69" s="97"/>
    </row>
    <row r="70" spans="1:23">
      <c r="A70" s="94" t="s">
        <v>5289</v>
      </c>
      <c r="B70" s="94"/>
      <c r="E70" s="94"/>
      <c r="F70" s="94"/>
      <c r="O70" s="97" t="s">
        <v>5259</v>
      </c>
      <c r="P70" s="18">
        <v>-100000</v>
      </c>
      <c r="Q70" s="97">
        <v>5</v>
      </c>
      <c r="R70" s="97">
        <f t="shared" si="9"/>
        <v>468</v>
      </c>
      <c r="S70" s="97">
        <f t="shared" si="10"/>
        <v>-46800000</v>
      </c>
      <c r="T70" s="97"/>
    </row>
    <row r="71" spans="1:23">
      <c r="A71" s="94" t="s">
        <v>5848</v>
      </c>
      <c r="B71" s="94"/>
      <c r="E71" s="94"/>
      <c r="F71" s="94"/>
      <c r="O71" s="97" t="s">
        <v>5263</v>
      </c>
      <c r="P71" s="18">
        <v>1164690</v>
      </c>
      <c r="Q71" s="97">
        <v>4</v>
      </c>
      <c r="R71" s="97">
        <f t="shared" si="9"/>
        <v>463</v>
      </c>
      <c r="S71" s="97">
        <f t="shared" si="10"/>
        <v>539251470</v>
      </c>
      <c r="T71" s="97"/>
      <c r="U71" t="s">
        <v>25</v>
      </c>
    </row>
    <row r="72" spans="1:23">
      <c r="A72" s="94" t="s">
        <v>5294</v>
      </c>
      <c r="B72" s="94"/>
      <c r="E72" s="94"/>
      <c r="F72" s="94"/>
      <c r="O72" s="97" t="s">
        <v>5272</v>
      </c>
      <c r="P72" s="18">
        <v>1000000</v>
      </c>
      <c r="Q72" s="97">
        <v>4</v>
      </c>
      <c r="R72" s="97">
        <f t="shared" si="9"/>
        <v>459</v>
      </c>
      <c r="S72" s="97">
        <f t="shared" si="10"/>
        <v>459000000</v>
      </c>
      <c r="T72" s="97"/>
    </row>
    <row r="73" spans="1:23">
      <c r="A73" s="94" t="s">
        <v>5849</v>
      </c>
      <c r="B73" s="94"/>
      <c r="E73" s="94"/>
      <c r="F73" s="94"/>
      <c r="N73" t="s">
        <v>25</v>
      </c>
      <c r="O73" s="97" t="s">
        <v>5277</v>
      </c>
      <c r="P73" s="18">
        <v>-264690</v>
      </c>
      <c r="Q73" s="97">
        <v>7</v>
      </c>
      <c r="R73" s="97">
        <f t="shared" si="9"/>
        <v>455</v>
      </c>
      <c r="S73" s="97">
        <f t="shared" si="10"/>
        <v>-120433950</v>
      </c>
      <c r="T73" s="97"/>
    </row>
    <row r="74" spans="1:23">
      <c r="A74" s="94" t="s">
        <v>5850</v>
      </c>
      <c r="B74" s="94"/>
      <c r="E74" s="94"/>
      <c r="F74" s="94"/>
      <c r="O74" s="97" t="s">
        <v>5293</v>
      </c>
      <c r="P74" s="18">
        <v>2700000</v>
      </c>
      <c r="Q74" s="97">
        <v>0</v>
      </c>
      <c r="R74" s="97">
        <f t="shared" si="9"/>
        <v>448</v>
      </c>
      <c r="S74" s="97">
        <f t="shared" si="10"/>
        <v>1209600000</v>
      </c>
      <c r="T74" s="97"/>
    </row>
    <row r="75" spans="1:23">
      <c r="A75" s="94" t="s">
        <v>5851</v>
      </c>
      <c r="B75" s="94"/>
      <c r="E75" s="94"/>
      <c r="F75" s="94"/>
      <c r="O75" s="97" t="s">
        <v>5293</v>
      </c>
      <c r="P75" s="18">
        <v>-1000000</v>
      </c>
      <c r="Q75" s="97">
        <v>1</v>
      </c>
      <c r="R75" s="97">
        <f t="shared" si="9"/>
        <v>448</v>
      </c>
      <c r="S75" s="97">
        <f t="shared" si="10"/>
        <v>-448000000</v>
      </c>
      <c r="T75" s="97" t="s">
        <v>5295</v>
      </c>
    </row>
    <row r="76" spans="1:23">
      <c r="A76" s="94" t="s">
        <v>4483</v>
      </c>
      <c r="B76" s="94"/>
      <c r="E76" s="94"/>
      <c r="F76" s="94"/>
      <c r="O76" s="97" t="s">
        <v>5297</v>
      </c>
      <c r="P76" s="18">
        <v>-75616</v>
      </c>
      <c r="Q76" s="97">
        <v>2</v>
      </c>
      <c r="R76" s="97">
        <f t="shared" si="9"/>
        <v>447</v>
      </c>
      <c r="S76" s="97">
        <f t="shared" si="10"/>
        <v>-33800352</v>
      </c>
      <c r="T76" s="97" t="s">
        <v>5298</v>
      </c>
    </row>
    <row r="77" spans="1:23">
      <c r="A77" s="94" t="s">
        <v>4559</v>
      </c>
      <c r="B77" s="94" t="s">
        <v>25</v>
      </c>
      <c r="E77" s="94"/>
      <c r="F77" s="94"/>
      <c r="O77" s="97" t="s">
        <v>963</v>
      </c>
      <c r="P77" s="18">
        <v>-2424384</v>
      </c>
      <c r="Q77" s="97">
        <v>2</v>
      </c>
      <c r="R77" s="97">
        <f t="shared" si="9"/>
        <v>445</v>
      </c>
      <c r="S77" s="97">
        <f t="shared" si="10"/>
        <v>-1078850880</v>
      </c>
      <c r="T77" s="97"/>
      <c r="W77" t="s">
        <v>25</v>
      </c>
    </row>
    <row r="78" spans="1:23">
      <c r="A78" s="94" t="s">
        <v>4719</v>
      </c>
      <c r="B78" s="94"/>
      <c r="E78" s="94"/>
      <c r="F78" s="94"/>
      <c r="M78" t="s">
        <v>25</v>
      </c>
      <c r="O78" s="97" t="s">
        <v>5312</v>
      </c>
      <c r="P78" s="18">
        <v>-2000000</v>
      </c>
      <c r="Q78" s="97">
        <v>6</v>
      </c>
      <c r="R78" s="97">
        <f t="shared" si="9"/>
        <v>443</v>
      </c>
      <c r="S78" s="97">
        <f t="shared" si="10"/>
        <v>-886000000</v>
      </c>
      <c r="T78" s="97"/>
    </row>
    <row r="79" spans="1:23">
      <c r="A79" s="94" t="s">
        <v>4661</v>
      </c>
      <c r="B79" s="94"/>
      <c r="E79" s="94"/>
      <c r="F79" s="94"/>
      <c r="O79" s="97" t="s">
        <v>5345</v>
      </c>
      <c r="P79" s="18">
        <v>2500000</v>
      </c>
      <c r="Q79" s="97">
        <v>1</v>
      </c>
      <c r="R79" s="97">
        <f t="shared" si="9"/>
        <v>437</v>
      </c>
      <c r="S79" s="97">
        <f t="shared" si="10"/>
        <v>1092500000</v>
      </c>
      <c r="T79" s="97"/>
    </row>
    <row r="80" spans="1:23">
      <c r="A80" s="94"/>
      <c r="B80" s="94"/>
      <c r="E80" s="94"/>
      <c r="F80" s="94"/>
      <c r="L80" s="112"/>
      <c r="O80" s="97" t="s">
        <v>5348</v>
      </c>
      <c r="P80" s="18">
        <v>3000000</v>
      </c>
      <c r="Q80" s="97">
        <v>3</v>
      </c>
      <c r="R80" s="97">
        <f t="shared" si="9"/>
        <v>436</v>
      </c>
      <c r="S80" s="97">
        <f t="shared" si="10"/>
        <v>1308000000</v>
      </c>
      <c r="T80" s="97"/>
    </row>
    <row r="81" spans="1:28">
      <c r="A81" s="94"/>
      <c r="B81" s="94"/>
      <c r="E81" s="94"/>
      <c r="F81" s="94"/>
      <c r="O81" s="97" t="s">
        <v>5354</v>
      </c>
      <c r="P81" s="18">
        <v>-300000</v>
      </c>
      <c r="Q81" s="97">
        <v>5</v>
      </c>
      <c r="R81" s="97">
        <f t="shared" si="9"/>
        <v>433</v>
      </c>
      <c r="S81" s="97">
        <f t="shared" si="10"/>
        <v>-129900000</v>
      </c>
      <c r="T81" s="97"/>
    </row>
    <row r="82" spans="1:28">
      <c r="B82" s="94"/>
      <c r="E82" s="94"/>
      <c r="F82" s="94"/>
      <c r="O82" s="97" t="s">
        <v>5365</v>
      </c>
      <c r="P82" s="18">
        <v>500000</v>
      </c>
      <c r="Q82" s="97">
        <v>1</v>
      </c>
      <c r="R82" s="97">
        <f t="shared" si="9"/>
        <v>428</v>
      </c>
      <c r="S82" s="97">
        <f t="shared" si="10"/>
        <v>214000000</v>
      </c>
      <c r="T82" s="97"/>
    </row>
    <row r="83" spans="1:28">
      <c r="A83" s="94" t="s">
        <v>5842</v>
      </c>
      <c r="E83" s="94"/>
      <c r="F83" s="94"/>
      <c r="O83" s="97" t="s">
        <v>5367</v>
      </c>
      <c r="P83" s="18">
        <v>1000000</v>
      </c>
      <c r="Q83" s="97">
        <v>5</v>
      </c>
      <c r="R83" s="97">
        <f t="shared" si="9"/>
        <v>427</v>
      </c>
      <c r="S83" s="97">
        <f t="shared" si="10"/>
        <v>427000000</v>
      </c>
      <c r="T83" s="97"/>
    </row>
    <row r="84" spans="1:28">
      <c r="A84" s="94" t="s">
        <v>5840</v>
      </c>
      <c r="E84" s="94"/>
      <c r="F84" s="94"/>
      <c r="O84" s="97" t="s">
        <v>5372</v>
      </c>
      <c r="P84" s="18">
        <v>-2700000</v>
      </c>
      <c r="Q84" s="97">
        <v>1</v>
      </c>
      <c r="R84" s="97">
        <f t="shared" si="9"/>
        <v>422</v>
      </c>
      <c r="S84" s="97">
        <f t="shared" si="10"/>
        <v>-1139400000</v>
      </c>
      <c r="T84" s="97"/>
    </row>
    <row r="85" spans="1:28">
      <c r="A85" s="94" t="s">
        <v>5841</v>
      </c>
      <c r="E85" s="94"/>
      <c r="F85" s="94"/>
      <c r="M85" t="s">
        <v>25</v>
      </c>
      <c r="O85" s="97" t="s">
        <v>5373</v>
      </c>
      <c r="P85" s="18">
        <v>-3600000</v>
      </c>
      <c r="Q85" s="97">
        <v>1</v>
      </c>
      <c r="R85" s="97">
        <f t="shared" si="9"/>
        <v>421</v>
      </c>
      <c r="S85" s="97">
        <f t="shared" si="10"/>
        <v>-1515600000</v>
      </c>
      <c r="T85" s="97"/>
    </row>
    <row r="86" spans="1:28">
      <c r="A86" s="94" t="s">
        <v>5852</v>
      </c>
      <c r="E86" s="94"/>
      <c r="F86" s="94"/>
      <c r="O86" s="97" t="s">
        <v>987</v>
      </c>
      <c r="P86" s="18">
        <v>-400000</v>
      </c>
      <c r="Q86" s="97">
        <v>17</v>
      </c>
      <c r="R86" s="97">
        <f t="shared" si="9"/>
        <v>420</v>
      </c>
      <c r="S86" s="97">
        <f t="shared" si="10"/>
        <v>-168000000</v>
      </c>
      <c r="T86" s="97"/>
    </row>
    <row r="87" spans="1:28">
      <c r="A87" s="94" t="s">
        <v>5853</v>
      </c>
      <c r="E87" s="94"/>
      <c r="F87" s="94"/>
      <c r="O87" s="97" t="s">
        <v>5393</v>
      </c>
      <c r="P87" s="18">
        <v>1000000</v>
      </c>
      <c r="Q87" s="97">
        <v>20</v>
      </c>
      <c r="R87" s="97">
        <f t="shared" si="9"/>
        <v>403</v>
      </c>
      <c r="S87" s="97">
        <f t="shared" si="10"/>
        <v>403000000</v>
      </c>
      <c r="T87" s="97"/>
    </row>
    <row r="88" spans="1:28">
      <c r="A88" s="94" t="s">
        <v>5854</v>
      </c>
      <c r="O88" s="97" t="s">
        <v>5413</v>
      </c>
      <c r="P88" s="18">
        <v>-1000000</v>
      </c>
      <c r="Q88" s="97">
        <v>25</v>
      </c>
      <c r="R88" s="97">
        <f t="shared" si="9"/>
        <v>383</v>
      </c>
      <c r="S88" s="97">
        <f t="shared" si="10"/>
        <v>-383000000</v>
      </c>
      <c r="T88" s="97"/>
    </row>
    <row r="89" spans="1:28">
      <c r="A89" s="94"/>
      <c r="O89" s="97" t="s">
        <v>5443</v>
      </c>
      <c r="P89" s="18">
        <v>300000</v>
      </c>
      <c r="Q89" s="97">
        <v>3</v>
      </c>
      <c r="R89" s="97">
        <f t="shared" si="9"/>
        <v>358</v>
      </c>
      <c r="S89" s="97">
        <f t="shared" si="10"/>
        <v>107400000</v>
      </c>
      <c r="T89" s="97"/>
    </row>
    <row r="90" spans="1:28">
      <c r="A90" s="94" t="s">
        <v>5845</v>
      </c>
      <c r="O90" s="97" t="s">
        <v>5448</v>
      </c>
      <c r="P90" s="18">
        <v>-300000</v>
      </c>
      <c r="Q90" s="97">
        <v>9</v>
      </c>
      <c r="R90" s="97">
        <f t="shared" si="9"/>
        <v>355</v>
      </c>
      <c r="S90" s="97">
        <f t="shared" si="10"/>
        <v>-106500000</v>
      </c>
      <c r="T90" s="97"/>
    </row>
    <row r="91" spans="1:28">
      <c r="A91" t="s">
        <v>5846</v>
      </c>
      <c r="O91" s="97" t="s">
        <v>5467</v>
      </c>
      <c r="P91" s="18">
        <v>1000000</v>
      </c>
      <c r="Q91" s="97">
        <v>24</v>
      </c>
      <c r="R91" s="97">
        <f t="shared" si="9"/>
        <v>346</v>
      </c>
      <c r="S91" s="97">
        <f t="shared" si="10"/>
        <v>346000000</v>
      </c>
      <c r="T91" s="97"/>
      <c r="W91" t="s">
        <v>25</v>
      </c>
    </row>
    <row r="92" spans="1:28">
      <c r="A92" s="94" t="s">
        <v>5847</v>
      </c>
      <c r="M92" t="s">
        <v>25</v>
      </c>
      <c r="O92" s="97" t="s">
        <v>5506</v>
      </c>
      <c r="P92" s="18">
        <v>-1380100</v>
      </c>
      <c r="Q92" s="97">
        <v>11</v>
      </c>
      <c r="R92" s="97">
        <f t="shared" si="9"/>
        <v>322</v>
      </c>
      <c r="S92" s="97">
        <f t="shared" si="10"/>
        <v>-444392200</v>
      </c>
      <c r="T92" s="97"/>
    </row>
    <row r="93" spans="1:28">
      <c r="A93" s="94"/>
      <c r="O93" s="97" t="s">
        <v>5520</v>
      </c>
      <c r="P93" s="18">
        <v>1280015</v>
      </c>
      <c r="Q93" s="97">
        <v>0</v>
      </c>
      <c r="R93" s="97">
        <f t="shared" ref="R93:R141" si="15">Q93+R94</f>
        <v>311</v>
      </c>
      <c r="S93" s="97">
        <f t="shared" ref="S93:S135" si="16">P93*R93</f>
        <v>398084665</v>
      </c>
      <c r="T93" s="97"/>
    </row>
    <row r="94" spans="1:28">
      <c r="O94" s="97" t="s">
        <v>5520</v>
      </c>
      <c r="P94" s="18">
        <v>300000</v>
      </c>
      <c r="Q94" s="97">
        <v>7</v>
      </c>
      <c r="R94" s="97">
        <f t="shared" si="15"/>
        <v>311</v>
      </c>
      <c r="S94" s="97">
        <f t="shared" si="16"/>
        <v>93300000</v>
      </c>
      <c r="T94" s="97"/>
    </row>
    <row r="95" spans="1:28">
      <c r="A95" s="94"/>
      <c r="O95" s="97" t="s">
        <v>5527</v>
      </c>
      <c r="P95" s="18">
        <v>3000000</v>
      </c>
      <c r="Q95" s="97">
        <v>3</v>
      </c>
      <c r="R95" s="97">
        <f t="shared" si="15"/>
        <v>304</v>
      </c>
      <c r="S95" s="97">
        <f t="shared" si="16"/>
        <v>912000000</v>
      </c>
      <c r="T95" s="97"/>
      <c r="AB95" t="s">
        <v>25</v>
      </c>
    </row>
    <row r="96" spans="1:28">
      <c r="A96" s="94"/>
      <c r="O96" s="97" t="s">
        <v>5546</v>
      </c>
      <c r="P96" s="18">
        <v>300000</v>
      </c>
      <c r="Q96" s="97">
        <v>8</v>
      </c>
      <c r="R96" s="97">
        <f t="shared" si="15"/>
        <v>301</v>
      </c>
      <c r="S96" s="97">
        <f t="shared" si="16"/>
        <v>90300000</v>
      </c>
      <c r="T96" s="97"/>
    </row>
    <row r="97" spans="1:25">
      <c r="O97" s="97" t="s">
        <v>5567</v>
      </c>
      <c r="P97" s="18">
        <v>-3500000</v>
      </c>
      <c r="Q97" s="97">
        <v>6</v>
      </c>
      <c r="R97" s="97">
        <f t="shared" si="15"/>
        <v>293</v>
      </c>
      <c r="S97" s="97">
        <f t="shared" si="16"/>
        <v>-1025500000</v>
      </c>
      <c r="T97" s="97"/>
    </row>
    <row r="98" spans="1:25">
      <c r="A98" s="94"/>
      <c r="O98" s="97" t="s">
        <v>5572</v>
      </c>
      <c r="P98" s="18">
        <v>-70000</v>
      </c>
      <c r="Q98" s="97">
        <v>1</v>
      </c>
      <c r="R98" s="97">
        <f t="shared" si="15"/>
        <v>287</v>
      </c>
      <c r="S98" s="97">
        <f t="shared" si="16"/>
        <v>-20090000</v>
      </c>
      <c r="T98" s="97"/>
    </row>
    <row r="99" spans="1:25">
      <c r="A99" s="94"/>
      <c r="O99" s="97" t="s">
        <v>5576</v>
      </c>
      <c r="P99" s="18">
        <v>70085</v>
      </c>
      <c r="Q99" s="97">
        <v>7</v>
      </c>
      <c r="R99" s="97">
        <f t="shared" si="15"/>
        <v>286</v>
      </c>
      <c r="S99" s="97">
        <f t="shared" si="16"/>
        <v>20044310</v>
      </c>
      <c r="T99" s="97" t="s">
        <v>5577</v>
      </c>
    </row>
    <row r="100" spans="1:25">
      <c r="O100" s="97" t="s">
        <v>5583</v>
      </c>
      <c r="P100" s="18">
        <v>-1000000</v>
      </c>
      <c r="Q100" s="97">
        <v>31</v>
      </c>
      <c r="R100" s="97">
        <f t="shared" si="15"/>
        <v>279</v>
      </c>
      <c r="S100" s="97">
        <f t="shared" si="16"/>
        <v>-279000000</v>
      </c>
      <c r="T100" s="97"/>
    </row>
    <row r="101" spans="1:25">
      <c r="O101" s="97" t="s">
        <v>5612</v>
      </c>
      <c r="P101" s="18">
        <v>6000000</v>
      </c>
      <c r="Q101" s="97">
        <v>1</v>
      </c>
      <c r="R101" s="97">
        <f t="shared" si="15"/>
        <v>248</v>
      </c>
      <c r="S101" s="97">
        <f t="shared" si="16"/>
        <v>1488000000</v>
      </c>
      <c r="T101" s="97"/>
      <c r="U101" t="s">
        <v>25</v>
      </c>
    </row>
    <row r="102" spans="1:25">
      <c r="O102" s="97" t="s">
        <v>5613</v>
      </c>
      <c r="P102" s="18">
        <v>6000000</v>
      </c>
      <c r="Q102" s="97">
        <v>11</v>
      </c>
      <c r="R102" s="97">
        <f t="shared" si="15"/>
        <v>247</v>
      </c>
      <c r="S102" s="97">
        <f t="shared" si="16"/>
        <v>1482000000</v>
      </c>
      <c r="T102" s="97"/>
    </row>
    <row r="103" spans="1:25">
      <c r="O103" s="97" t="s">
        <v>5628</v>
      </c>
      <c r="P103" s="18">
        <v>48000000</v>
      </c>
      <c r="Q103" s="97">
        <v>8</v>
      </c>
      <c r="R103" s="97">
        <f t="shared" si="15"/>
        <v>236</v>
      </c>
      <c r="S103" s="97">
        <f t="shared" si="16"/>
        <v>11328000000</v>
      </c>
      <c r="T103" s="97"/>
    </row>
    <row r="104" spans="1:25">
      <c r="O104" s="97" t="s">
        <v>5645</v>
      </c>
      <c r="P104" s="18">
        <v>-400000</v>
      </c>
      <c r="Q104" s="97">
        <v>23</v>
      </c>
      <c r="R104" s="97">
        <f t="shared" si="15"/>
        <v>228</v>
      </c>
      <c r="S104" s="97">
        <f t="shared" si="16"/>
        <v>-91200000</v>
      </c>
      <c r="T104" s="97"/>
    </row>
    <row r="105" spans="1:25">
      <c r="O105" s="97" t="s">
        <v>5682</v>
      </c>
      <c r="P105" s="18">
        <v>500000</v>
      </c>
      <c r="Q105" s="97">
        <v>4</v>
      </c>
      <c r="R105" s="97">
        <f t="shared" si="15"/>
        <v>205</v>
      </c>
      <c r="S105" s="97">
        <f t="shared" si="16"/>
        <v>102500000</v>
      </c>
      <c r="T105" s="97"/>
    </row>
    <row r="106" spans="1:25">
      <c r="O106" s="97" t="s">
        <v>5686</v>
      </c>
      <c r="P106" s="18">
        <v>-500000</v>
      </c>
      <c r="Q106" s="97">
        <v>48</v>
      </c>
      <c r="R106" s="97">
        <f t="shared" si="15"/>
        <v>201</v>
      </c>
      <c r="S106" s="97">
        <f t="shared" si="16"/>
        <v>-100500000</v>
      </c>
      <c r="T106" s="97"/>
      <c r="V106" t="s">
        <v>25</v>
      </c>
    </row>
    <row r="107" spans="1:25">
      <c r="O107" s="97" t="s">
        <v>5748</v>
      </c>
      <c r="P107" s="18">
        <v>2000000</v>
      </c>
      <c r="Q107" s="97">
        <v>11</v>
      </c>
      <c r="R107" s="97">
        <f t="shared" si="15"/>
        <v>153</v>
      </c>
      <c r="S107" s="97">
        <f t="shared" si="16"/>
        <v>306000000</v>
      </c>
      <c r="T107" s="97"/>
    </row>
    <row r="108" spans="1:25">
      <c r="O108" s="97" t="s">
        <v>5762</v>
      </c>
      <c r="P108" s="18">
        <v>-2000000</v>
      </c>
      <c r="Q108" s="97">
        <v>1</v>
      </c>
      <c r="R108" s="97">
        <f t="shared" si="15"/>
        <v>142</v>
      </c>
      <c r="S108" s="97">
        <f t="shared" si="16"/>
        <v>-284000000</v>
      </c>
      <c r="T108" s="97"/>
      <c r="V108" t="s">
        <v>25</v>
      </c>
    </row>
    <row r="109" spans="1:25">
      <c r="O109" s="97" t="s">
        <v>5764</v>
      </c>
      <c r="P109" s="18">
        <v>-42203</v>
      </c>
      <c r="Q109" s="97">
        <v>2</v>
      </c>
      <c r="R109" s="97">
        <f t="shared" si="15"/>
        <v>141</v>
      </c>
      <c r="S109" s="97">
        <f t="shared" si="16"/>
        <v>-5950623</v>
      </c>
      <c r="T109" s="97" t="s">
        <v>5769</v>
      </c>
    </row>
    <row r="110" spans="1:25">
      <c r="M110" t="s">
        <v>25</v>
      </c>
      <c r="O110" s="97" t="s">
        <v>5772</v>
      </c>
      <c r="P110" s="18">
        <v>-365000</v>
      </c>
      <c r="Q110" s="97">
        <v>5</v>
      </c>
      <c r="R110" s="97">
        <f t="shared" si="15"/>
        <v>139</v>
      </c>
      <c r="S110" s="97">
        <f t="shared" si="16"/>
        <v>-50735000</v>
      </c>
      <c r="T110" s="97" t="s">
        <v>5773</v>
      </c>
    </row>
    <row r="111" spans="1:25">
      <c r="O111" s="97" t="s">
        <v>5779</v>
      </c>
      <c r="P111" s="18">
        <v>12000000</v>
      </c>
      <c r="Q111" s="97">
        <v>9</v>
      </c>
      <c r="R111" s="97">
        <f t="shared" si="15"/>
        <v>134</v>
      </c>
      <c r="S111" s="97">
        <f t="shared" si="16"/>
        <v>1608000000</v>
      </c>
      <c r="T111" s="97" t="s">
        <v>5780</v>
      </c>
      <c r="Y111" t="s">
        <v>25</v>
      </c>
    </row>
    <row r="112" spans="1:25">
      <c r="O112" s="97" t="s">
        <v>5793</v>
      </c>
      <c r="P112" s="18">
        <v>-4000000</v>
      </c>
      <c r="Q112" s="97">
        <v>1</v>
      </c>
      <c r="R112" s="97">
        <f t="shared" si="15"/>
        <v>125</v>
      </c>
      <c r="S112" s="97">
        <f t="shared" si="16"/>
        <v>-500000000</v>
      </c>
      <c r="T112" s="97"/>
    </row>
    <row r="113" spans="1:23">
      <c r="O113" s="97" t="s">
        <v>5798</v>
      </c>
      <c r="P113" s="18">
        <v>-5000000</v>
      </c>
      <c r="Q113" s="97">
        <v>2</v>
      </c>
      <c r="R113" s="97">
        <f>Q113+R114</f>
        <v>124</v>
      </c>
      <c r="S113" s="97">
        <f t="shared" si="16"/>
        <v>-620000000</v>
      </c>
      <c r="T113" s="97"/>
    </row>
    <row r="114" spans="1:23">
      <c r="O114" s="97" t="s">
        <v>5796</v>
      </c>
      <c r="P114" s="18">
        <v>-2500000</v>
      </c>
      <c r="Q114" s="97">
        <v>1</v>
      </c>
      <c r="R114" s="97">
        <f t="shared" si="15"/>
        <v>122</v>
      </c>
      <c r="S114" s="97">
        <f t="shared" si="16"/>
        <v>-305000000</v>
      </c>
      <c r="T114" s="97"/>
    </row>
    <row r="115" spans="1:23">
      <c r="O115" s="97" t="s">
        <v>5797</v>
      </c>
      <c r="P115" s="18">
        <v>-500000</v>
      </c>
      <c r="Q115" s="97">
        <v>17</v>
      </c>
      <c r="R115" s="97">
        <f t="shared" si="15"/>
        <v>121</v>
      </c>
      <c r="S115" s="97">
        <f t="shared" si="16"/>
        <v>-60500000</v>
      </c>
      <c r="T115" s="97"/>
    </row>
    <row r="116" spans="1:23">
      <c r="N116" t="s">
        <v>25</v>
      </c>
      <c r="O116" s="97" t="s">
        <v>5799</v>
      </c>
      <c r="P116" s="18">
        <v>-192797</v>
      </c>
      <c r="Q116" s="97">
        <v>15</v>
      </c>
      <c r="R116" s="97">
        <f t="shared" si="15"/>
        <v>104</v>
      </c>
      <c r="S116" s="97">
        <f t="shared" si="16"/>
        <v>-20050888</v>
      </c>
      <c r="T116" s="97"/>
    </row>
    <row r="117" spans="1:23">
      <c r="O117" s="97" t="s">
        <v>5804</v>
      </c>
      <c r="P117" s="18">
        <v>2000000</v>
      </c>
      <c r="Q117" s="97">
        <v>12</v>
      </c>
      <c r="R117" s="97">
        <f t="shared" si="15"/>
        <v>89</v>
      </c>
      <c r="S117" s="97">
        <f t="shared" si="16"/>
        <v>178000000</v>
      </c>
      <c r="T117" s="97"/>
    </row>
    <row r="118" spans="1:23">
      <c r="A118" s="305" t="s">
        <v>180</v>
      </c>
      <c r="B118" s="306" t="s">
        <v>5914</v>
      </c>
      <c r="C118" s="32" t="s">
        <v>5915</v>
      </c>
      <c r="D118" s="32" t="s">
        <v>5916</v>
      </c>
      <c r="E118" s="32" t="s">
        <v>5917</v>
      </c>
      <c r="F118" s="32" t="s">
        <v>5918</v>
      </c>
      <c r="G118" s="32" t="s">
        <v>5328</v>
      </c>
      <c r="H118" s="32" t="s">
        <v>5919</v>
      </c>
      <c r="I118" s="280" t="s">
        <v>5920</v>
      </c>
      <c r="O118" s="97" t="s">
        <v>5812</v>
      </c>
      <c r="P118" s="18">
        <v>-2000000</v>
      </c>
      <c r="Q118" s="97">
        <v>0</v>
      </c>
      <c r="R118" s="97">
        <f t="shared" si="15"/>
        <v>77</v>
      </c>
      <c r="S118" s="97">
        <f t="shared" si="16"/>
        <v>-154000000</v>
      </c>
      <c r="T118" s="97"/>
    </row>
    <row r="119" spans="1:23">
      <c r="A119" s="305" t="s">
        <v>4223</v>
      </c>
      <c r="B119" s="307">
        <v>70000000</v>
      </c>
      <c r="C119" s="308">
        <v>4400000</v>
      </c>
      <c r="D119" s="309">
        <f>B119/C119</f>
        <v>15.909090909090908</v>
      </c>
      <c r="E119" s="18">
        <v>190</v>
      </c>
      <c r="F119" s="32">
        <f>B119/E119</f>
        <v>368421.05263157893</v>
      </c>
      <c r="G119" s="32"/>
      <c r="H119" s="32"/>
      <c r="I119" s="207"/>
      <c r="O119" s="97" t="s">
        <v>5812</v>
      </c>
      <c r="P119" s="18">
        <v>-4000000</v>
      </c>
      <c r="Q119" s="97">
        <v>1</v>
      </c>
      <c r="R119" s="97">
        <f t="shared" si="15"/>
        <v>77</v>
      </c>
      <c r="S119" s="97">
        <f t="shared" si="16"/>
        <v>-308000000</v>
      </c>
      <c r="T119" s="97"/>
    </row>
    <row r="120" spans="1:23">
      <c r="A120" s="305" t="s">
        <v>4744</v>
      </c>
      <c r="B120" s="18"/>
      <c r="C120" s="18"/>
      <c r="D120" s="18"/>
      <c r="E120" s="18"/>
      <c r="F120" s="32">
        <f>F119+I120</f>
        <v>419590.64327485382</v>
      </c>
      <c r="G120" s="32">
        <v>25</v>
      </c>
      <c r="H120" s="32">
        <v>180</v>
      </c>
      <c r="I120" s="311">
        <f>G120*F119/H120</f>
        <v>51169.59064327486</v>
      </c>
      <c r="O120" s="97" t="s">
        <v>5814</v>
      </c>
      <c r="P120" s="18">
        <v>-3000000</v>
      </c>
      <c r="Q120" s="97">
        <v>3</v>
      </c>
      <c r="R120" s="97">
        <f t="shared" si="15"/>
        <v>76</v>
      </c>
      <c r="S120" s="97">
        <f t="shared" si="16"/>
        <v>-228000000</v>
      </c>
      <c r="T120" s="97"/>
    </row>
    <row r="121" spans="1:23">
      <c r="A121" s="305" t="s">
        <v>5433</v>
      </c>
      <c r="B121" s="18"/>
      <c r="C121" s="18"/>
      <c r="D121" s="18"/>
      <c r="E121" s="18"/>
      <c r="F121" s="32">
        <f>F120+I121</f>
        <v>441232.68698060943</v>
      </c>
      <c r="G121" s="32">
        <v>49</v>
      </c>
      <c r="H121" s="32">
        <v>950</v>
      </c>
      <c r="I121" s="311">
        <f>F120*G121/H121</f>
        <v>21642.043705755616</v>
      </c>
      <c r="O121" s="97" t="s">
        <v>5822</v>
      </c>
      <c r="P121" s="18">
        <v>-6000000</v>
      </c>
      <c r="Q121" s="97">
        <v>1</v>
      </c>
      <c r="R121" s="97">
        <f t="shared" si="15"/>
        <v>73</v>
      </c>
      <c r="S121" s="97">
        <f t="shared" si="16"/>
        <v>-438000000</v>
      </c>
      <c r="T121" s="97"/>
    </row>
    <row r="122" spans="1:23">
      <c r="A122" s="305" t="s">
        <v>5889</v>
      </c>
      <c r="B122" s="18"/>
      <c r="C122" s="18"/>
      <c r="D122" s="18"/>
      <c r="E122" s="18"/>
      <c r="F122" s="32">
        <f>F121+I122</f>
        <v>473322.33694283559</v>
      </c>
      <c r="G122" s="32">
        <v>80</v>
      </c>
      <c r="H122" s="32">
        <v>1100</v>
      </c>
      <c r="I122" s="311">
        <f>F121*G122/H122</f>
        <v>32089.64996222614</v>
      </c>
      <c r="O122" s="97" t="s">
        <v>5826</v>
      </c>
      <c r="P122" s="18">
        <v>-10000000</v>
      </c>
      <c r="Q122" s="97">
        <v>0</v>
      </c>
      <c r="R122" s="97">
        <f t="shared" si="15"/>
        <v>72</v>
      </c>
      <c r="S122" s="97">
        <f t="shared" si="16"/>
        <v>-720000000</v>
      </c>
      <c r="T122" s="97"/>
    </row>
    <row r="123" spans="1:23">
      <c r="A123" s="9"/>
      <c r="B123" s="18"/>
      <c r="O123" s="97" t="s">
        <v>5826</v>
      </c>
      <c r="P123" s="18">
        <v>-5500000</v>
      </c>
      <c r="Q123" s="97">
        <v>1</v>
      </c>
      <c r="R123" s="97">
        <f t="shared" si="15"/>
        <v>72</v>
      </c>
      <c r="S123" s="97">
        <f t="shared" si="16"/>
        <v>-396000000</v>
      </c>
      <c r="T123" s="97"/>
    </row>
    <row r="124" spans="1:23">
      <c r="A124" s="305"/>
      <c r="B124" s="307" t="s">
        <v>5921</v>
      </c>
      <c r="C124" s="18"/>
      <c r="D124" s="18" t="s">
        <v>5922</v>
      </c>
      <c r="E124" s="18"/>
      <c r="F124" s="18" t="s">
        <v>5923</v>
      </c>
      <c r="G124" s="32"/>
      <c r="H124" s="32"/>
      <c r="I124" s="207"/>
      <c r="O124" s="97" t="s">
        <v>5827</v>
      </c>
      <c r="P124" s="18">
        <v>-1500000</v>
      </c>
      <c r="Q124" s="97">
        <v>9</v>
      </c>
      <c r="R124" s="97">
        <f t="shared" si="15"/>
        <v>71</v>
      </c>
      <c r="S124" s="97">
        <f t="shared" si="16"/>
        <v>-106500000</v>
      </c>
      <c r="T124" s="97"/>
    </row>
    <row r="125" spans="1:23">
      <c r="A125" s="305" t="s">
        <v>5913</v>
      </c>
      <c r="B125" s="307">
        <v>260000000</v>
      </c>
      <c r="C125" s="18"/>
      <c r="D125" s="308">
        <f>10440000*D119</f>
        <v>166090909.09090909</v>
      </c>
      <c r="E125" s="18"/>
      <c r="F125" s="310">
        <f>1066*F122</f>
        <v>504561611.18106276</v>
      </c>
      <c r="G125" s="32"/>
      <c r="H125" s="32"/>
      <c r="I125" s="207"/>
      <c r="O125" s="97" t="s">
        <v>5856</v>
      </c>
      <c r="P125" s="18">
        <v>-22545000</v>
      </c>
      <c r="Q125" s="97">
        <v>18</v>
      </c>
      <c r="R125" s="97">
        <f t="shared" si="15"/>
        <v>62</v>
      </c>
      <c r="S125" s="97">
        <f t="shared" si="16"/>
        <v>-1397790000</v>
      </c>
      <c r="T125" s="97" t="s">
        <v>5861</v>
      </c>
    </row>
    <row r="126" spans="1:23">
      <c r="A126" s="94"/>
      <c r="B126" s="94"/>
      <c r="E126" s="94"/>
      <c r="F126" s="94"/>
      <c r="G126" s="94"/>
      <c r="H126" s="94"/>
      <c r="I126" s="94"/>
      <c r="J126" s="94"/>
      <c r="O126" s="97" t="s">
        <v>5874</v>
      </c>
      <c r="P126" s="18">
        <v>5000000</v>
      </c>
      <c r="Q126" s="97">
        <v>9</v>
      </c>
      <c r="R126" s="97">
        <f t="shared" si="15"/>
        <v>44</v>
      </c>
      <c r="S126" s="97">
        <f t="shared" si="16"/>
        <v>220000000</v>
      </c>
      <c r="T126" s="97"/>
    </row>
    <row r="127" spans="1:23">
      <c r="A127" s="94"/>
      <c r="B127" s="94"/>
      <c r="E127" s="94"/>
      <c r="F127" s="94"/>
      <c r="G127" s="94"/>
      <c r="H127" s="94"/>
      <c r="I127" s="94" t="s">
        <v>25</v>
      </c>
      <c r="J127" s="94"/>
      <c r="O127" s="97" t="s">
        <v>5889</v>
      </c>
      <c r="P127" s="18">
        <v>3000000</v>
      </c>
      <c r="Q127" s="97">
        <v>0</v>
      </c>
      <c r="R127" s="97">
        <f t="shared" si="15"/>
        <v>35</v>
      </c>
      <c r="S127" s="97">
        <f t="shared" si="16"/>
        <v>105000000</v>
      </c>
      <c r="T127" s="97"/>
      <c r="W127" t="s">
        <v>25</v>
      </c>
    </row>
    <row r="128" spans="1:23">
      <c r="A128" s="94"/>
      <c r="B128" s="94"/>
      <c r="E128" s="94"/>
      <c r="F128" s="94"/>
      <c r="G128" s="94"/>
      <c r="H128" s="94"/>
      <c r="I128" s="94"/>
      <c r="J128" s="94"/>
      <c r="O128" s="97" t="s">
        <v>5889</v>
      </c>
      <c r="P128" s="18">
        <v>-3000000</v>
      </c>
      <c r="Q128" s="97">
        <v>1</v>
      </c>
      <c r="R128" s="97">
        <f t="shared" si="15"/>
        <v>35</v>
      </c>
      <c r="S128" s="97">
        <f t="shared" si="16"/>
        <v>-105000000</v>
      </c>
      <c r="T128" s="97"/>
    </row>
    <row r="129" spans="1:22">
      <c r="A129" s="315" t="s">
        <v>6473</v>
      </c>
      <c r="B129" s="316" t="s">
        <v>6471</v>
      </c>
      <c r="C129" s="32" t="s">
        <v>6500</v>
      </c>
      <c r="D129" s="239" t="s">
        <v>1100</v>
      </c>
      <c r="E129" s="32" t="s">
        <v>6472</v>
      </c>
      <c r="F129" s="207" t="s">
        <v>5915</v>
      </c>
      <c r="G129" s="207" t="s">
        <v>6499</v>
      </c>
      <c r="H129" s="94"/>
      <c r="I129" s="94"/>
      <c r="J129" s="94"/>
      <c r="O129" s="97" t="s">
        <v>5890</v>
      </c>
      <c r="P129" s="18">
        <v>-11455000</v>
      </c>
      <c r="Q129" s="97">
        <v>14</v>
      </c>
      <c r="R129" s="97">
        <f t="shared" si="15"/>
        <v>34</v>
      </c>
      <c r="S129" s="97">
        <f t="shared" si="16"/>
        <v>-389470000</v>
      </c>
      <c r="T129" s="97"/>
    </row>
    <row r="130" spans="1:22">
      <c r="A130" s="315">
        <v>1390</v>
      </c>
      <c r="B130" s="316">
        <v>354</v>
      </c>
      <c r="C130" s="32"/>
      <c r="D130" s="239">
        <v>1900</v>
      </c>
      <c r="E130" s="32">
        <f t="shared" ref="E130:E135" si="17">B130*1000/D130</f>
        <v>186.31578947368422</v>
      </c>
      <c r="F130" s="18">
        <v>700000</v>
      </c>
      <c r="G130" s="207">
        <f t="shared" ref="G130:G135" si="18">B130*1000*1000/F130</f>
        <v>505.71428571428572</v>
      </c>
      <c r="H130" s="94"/>
      <c r="I130" s="94"/>
      <c r="J130" s="94"/>
      <c r="O130" s="97" t="s">
        <v>6478</v>
      </c>
      <c r="P130" s="18">
        <v>2317100</v>
      </c>
      <c r="Q130" s="97">
        <v>3</v>
      </c>
      <c r="R130" s="97">
        <f t="shared" si="15"/>
        <v>20</v>
      </c>
      <c r="S130" s="97">
        <f t="shared" si="16"/>
        <v>46342000</v>
      </c>
      <c r="T130" s="97"/>
    </row>
    <row r="131" spans="1:22">
      <c r="A131" s="315">
        <v>1391</v>
      </c>
      <c r="B131" s="316">
        <v>460</v>
      </c>
      <c r="C131" s="32">
        <f>(B131-B130)*100/B130</f>
        <v>29.943502824858758</v>
      </c>
      <c r="D131" s="239">
        <v>3200</v>
      </c>
      <c r="E131" s="32">
        <f t="shared" si="17"/>
        <v>143.75</v>
      </c>
      <c r="F131" s="18">
        <v>1200000</v>
      </c>
      <c r="G131" s="207">
        <f t="shared" si="18"/>
        <v>383.33333333333331</v>
      </c>
      <c r="H131" s="94"/>
      <c r="I131" s="94" t="s">
        <v>25</v>
      </c>
      <c r="J131" s="94"/>
      <c r="O131" s="97" t="s">
        <v>6486</v>
      </c>
      <c r="P131" s="18">
        <v>699000</v>
      </c>
      <c r="Q131" s="97">
        <v>3</v>
      </c>
      <c r="R131" s="97">
        <f t="shared" si="15"/>
        <v>17</v>
      </c>
      <c r="S131" s="97">
        <f t="shared" si="16"/>
        <v>11883000</v>
      </c>
      <c r="T131" s="97"/>
    </row>
    <row r="132" spans="1:22">
      <c r="A132" s="315">
        <v>1392</v>
      </c>
      <c r="B132" s="316">
        <v>640</v>
      </c>
      <c r="C132" s="32">
        <f t="shared" ref="C132:C139" si="19">(B132-B131)*100/B131</f>
        <v>39.130434782608695</v>
      </c>
      <c r="D132" s="239">
        <v>3100</v>
      </c>
      <c r="E132" s="32">
        <f t="shared" si="17"/>
        <v>206.45161290322579</v>
      </c>
      <c r="F132" s="18">
        <v>970000</v>
      </c>
      <c r="G132" s="207">
        <f t="shared" si="18"/>
        <v>659.79381443298973</v>
      </c>
      <c r="H132" s="94"/>
      <c r="I132" s="94" t="s">
        <v>25</v>
      </c>
      <c r="J132" s="94" t="s">
        <v>25</v>
      </c>
      <c r="O132" s="97" t="s">
        <v>6492</v>
      </c>
      <c r="P132" s="18">
        <v>-1016100</v>
      </c>
      <c r="Q132" s="97">
        <v>5</v>
      </c>
      <c r="R132" s="97">
        <f t="shared" si="15"/>
        <v>14</v>
      </c>
      <c r="S132" s="97">
        <f t="shared" si="16"/>
        <v>-14225400</v>
      </c>
      <c r="T132" s="97"/>
    </row>
    <row r="133" spans="1:22">
      <c r="A133" s="315">
        <v>1393</v>
      </c>
      <c r="B133" s="316">
        <v>782</v>
      </c>
      <c r="C133" s="32">
        <f t="shared" si="19"/>
        <v>22.1875</v>
      </c>
      <c r="D133" s="239">
        <v>3300</v>
      </c>
      <c r="E133" s="32">
        <f t="shared" si="17"/>
        <v>236.96969696969697</v>
      </c>
      <c r="F133" s="18">
        <v>1000000</v>
      </c>
      <c r="G133" s="207">
        <f t="shared" si="18"/>
        <v>782</v>
      </c>
      <c r="H133" s="94" t="s">
        <v>25</v>
      </c>
      <c r="I133" s="94"/>
      <c r="J133" s="94"/>
      <c r="O133" s="97" t="s">
        <v>6501</v>
      </c>
      <c r="P133" s="18">
        <v>-680000</v>
      </c>
      <c r="Q133" s="97">
        <v>3</v>
      </c>
      <c r="R133" s="97">
        <f t="shared" si="15"/>
        <v>9</v>
      </c>
      <c r="S133" s="97">
        <f t="shared" si="16"/>
        <v>-6120000</v>
      </c>
      <c r="T133" s="97"/>
    </row>
    <row r="134" spans="1:22">
      <c r="A134" s="315">
        <v>1394</v>
      </c>
      <c r="B134" s="316">
        <v>1017</v>
      </c>
      <c r="C134" s="32">
        <f t="shared" si="19"/>
        <v>30.051150895140665</v>
      </c>
      <c r="D134" s="239">
        <v>3500</v>
      </c>
      <c r="E134" s="32">
        <f t="shared" si="17"/>
        <v>290.57142857142856</v>
      </c>
      <c r="F134" s="18">
        <v>1000000</v>
      </c>
      <c r="G134" s="207">
        <f t="shared" si="18"/>
        <v>1017</v>
      </c>
      <c r="H134" s="94"/>
      <c r="I134" s="94" t="s">
        <v>25</v>
      </c>
      <c r="J134" s="94"/>
      <c r="O134" s="97" t="s">
        <v>6502</v>
      </c>
      <c r="P134" s="18">
        <v>-216000</v>
      </c>
      <c r="Q134" s="97">
        <v>3</v>
      </c>
      <c r="R134" s="97">
        <f t="shared" si="15"/>
        <v>6</v>
      </c>
      <c r="S134" s="97">
        <f t="shared" si="16"/>
        <v>-1296000</v>
      </c>
      <c r="T134" s="97"/>
    </row>
    <row r="135" spans="1:22">
      <c r="A135" s="315">
        <v>1395</v>
      </c>
      <c r="B135" s="316">
        <v>1253</v>
      </c>
      <c r="C135" s="32">
        <f t="shared" si="19"/>
        <v>23.2055063913471</v>
      </c>
      <c r="D135" s="239">
        <v>3800</v>
      </c>
      <c r="E135" s="32">
        <f t="shared" si="17"/>
        <v>329.73684210526318</v>
      </c>
      <c r="F135" s="18">
        <v>1100000</v>
      </c>
      <c r="G135" s="207">
        <f t="shared" si="18"/>
        <v>1139.090909090909</v>
      </c>
      <c r="H135" s="94" t="s">
        <v>25</v>
      </c>
      <c r="I135" s="94" t="s">
        <v>25</v>
      </c>
      <c r="J135" s="94"/>
      <c r="O135" s="97" t="s">
        <v>6509</v>
      </c>
      <c r="P135" s="18">
        <v>-619000</v>
      </c>
      <c r="Q135" s="97">
        <v>3</v>
      </c>
      <c r="R135" s="97">
        <f>Q135+R139</f>
        <v>3</v>
      </c>
      <c r="S135" s="97">
        <f t="shared" si="16"/>
        <v>-1857000</v>
      </c>
      <c r="T135" s="97"/>
    </row>
    <row r="136" spans="1:22">
      <c r="A136" s="315">
        <v>1396</v>
      </c>
      <c r="B136" s="316">
        <v>1530</v>
      </c>
      <c r="C136" s="32">
        <f t="shared" si="19"/>
        <v>22.106943335993616</v>
      </c>
      <c r="D136" s="239">
        <v>4500</v>
      </c>
      <c r="E136" s="32">
        <f>B136*1000/D136</f>
        <v>340</v>
      </c>
      <c r="F136" s="18">
        <v>1400000</v>
      </c>
      <c r="G136" s="207">
        <f>B136*1000*1000/F136</f>
        <v>1092.8571428571429</v>
      </c>
      <c r="H136" s="94"/>
      <c r="I136" s="94"/>
      <c r="J136" s="94"/>
      <c r="O136" s="97" t="s">
        <v>6529</v>
      </c>
      <c r="P136" s="18">
        <v>-485000</v>
      </c>
      <c r="Q136" s="97">
        <v>1</v>
      </c>
      <c r="R136" s="97"/>
      <c r="S136" s="97"/>
      <c r="T136" s="97"/>
      <c r="V136" t="s">
        <v>25</v>
      </c>
    </row>
    <row r="137" spans="1:22">
      <c r="A137" s="315">
        <v>1397</v>
      </c>
      <c r="B137" s="316">
        <v>1882</v>
      </c>
      <c r="C137" s="32">
        <f t="shared" si="19"/>
        <v>23.006535947712418</v>
      </c>
      <c r="D137" s="239">
        <v>12000</v>
      </c>
      <c r="E137" s="32">
        <f>B137*1000/D137</f>
        <v>156.83333333333334</v>
      </c>
      <c r="F137" s="18">
        <v>4750000</v>
      </c>
      <c r="G137" s="207">
        <f t="shared" ref="G137:G140" si="20">B137*1000*1000/F137</f>
        <v>396.21052631578948</v>
      </c>
      <c r="H137" s="94"/>
      <c r="I137" s="94"/>
      <c r="J137" s="94"/>
      <c r="O137" s="97"/>
      <c r="P137" s="18"/>
      <c r="Q137" s="97"/>
      <c r="R137" s="97"/>
      <c r="S137" s="97"/>
      <c r="T137" s="97"/>
    </row>
    <row r="138" spans="1:22">
      <c r="A138" s="315">
        <v>1398</v>
      </c>
      <c r="B138" s="316">
        <v>2472</v>
      </c>
      <c r="C138" s="32">
        <f t="shared" si="19"/>
        <v>31.349628055260361</v>
      </c>
      <c r="D138" s="239">
        <v>15000</v>
      </c>
      <c r="E138" s="32">
        <f t="shared" ref="E138:E140" si="21">B138*1000/D138</f>
        <v>164.8</v>
      </c>
      <c r="F138" s="18">
        <v>6600000</v>
      </c>
      <c r="G138" s="207">
        <f t="shared" si="20"/>
        <v>374.54545454545456</v>
      </c>
      <c r="M138" t="s">
        <v>25</v>
      </c>
      <c r="O138" s="97"/>
      <c r="P138" s="18"/>
      <c r="Q138" s="97"/>
      <c r="R138" s="97"/>
      <c r="S138" s="97"/>
      <c r="T138" s="97"/>
    </row>
    <row r="139" spans="1:22">
      <c r="A139" s="315">
        <v>1399</v>
      </c>
      <c r="B139" s="316">
        <v>3350</v>
      </c>
      <c r="C139" s="32">
        <f t="shared" si="19"/>
        <v>35.517799352750806</v>
      </c>
      <c r="D139" s="239">
        <v>25000</v>
      </c>
      <c r="E139" s="32">
        <f t="shared" si="21"/>
        <v>134</v>
      </c>
      <c r="F139" s="18">
        <v>12000000</v>
      </c>
      <c r="G139" s="207">
        <f t="shared" si="20"/>
        <v>279.16666666666669</v>
      </c>
      <c r="O139" s="97"/>
      <c r="P139" s="18"/>
      <c r="Q139" s="97"/>
      <c r="R139" s="97">
        <f t="shared" si="15"/>
        <v>0</v>
      </c>
      <c r="S139" s="97"/>
      <c r="T139" s="97"/>
    </row>
    <row r="140" spans="1:22">
      <c r="A140" s="315">
        <v>1400</v>
      </c>
      <c r="B140" s="316">
        <f>B139*(1+C139/100)</f>
        <v>4539.8462783171526</v>
      </c>
      <c r="C140" s="32">
        <f t="shared" ref="C140" si="22">B140-B139</f>
        <v>1189.8462783171526</v>
      </c>
      <c r="D140" s="239">
        <v>15000</v>
      </c>
      <c r="E140" s="32">
        <f t="shared" si="21"/>
        <v>302.65641855447683</v>
      </c>
      <c r="F140" s="18">
        <v>15000000</v>
      </c>
      <c r="G140" s="207">
        <f t="shared" si="20"/>
        <v>302.65641855447689</v>
      </c>
      <c r="O140" s="97"/>
      <c r="P140" s="18"/>
      <c r="Q140" s="97"/>
      <c r="R140" s="97">
        <f t="shared" si="15"/>
        <v>0</v>
      </c>
      <c r="S140" s="97"/>
      <c r="T140" s="97"/>
    </row>
    <row r="141" spans="1:22">
      <c r="A141" s="94"/>
      <c r="B141" s="94"/>
      <c r="E141" s="94"/>
      <c r="F141" s="94"/>
      <c r="G141" s="94"/>
      <c r="O141" s="97"/>
      <c r="P141" s="18"/>
      <c r="Q141" s="97"/>
      <c r="R141" s="97">
        <f t="shared" si="15"/>
        <v>0</v>
      </c>
      <c r="S141" s="97"/>
      <c r="T141" s="97"/>
    </row>
    <row r="142" spans="1:22">
      <c r="A142" s="94"/>
      <c r="B142" s="94"/>
      <c r="E142" s="94"/>
      <c r="F142" s="94"/>
      <c r="G142" s="94"/>
      <c r="O142" s="97"/>
      <c r="P142" s="18">
        <f>SUM(P28:P141)</f>
        <v>0</v>
      </c>
      <c r="Q142" s="97"/>
      <c r="R142" s="97"/>
      <c r="S142" s="18">
        <f>SUM(S28:S141)</f>
        <v>11488467500</v>
      </c>
      <c r="T142" s="97"/>
    </row>
    <row r="143" spans="1:22">
      <c r="A143" s="94"/>
      <c r="B143" s="94"/>
      <c r="E143" s="94"/>
      <c r="F143" s="94"/>
      <c r="G143" s="94"/>
      <c r="P143" t="s">
        <v>4913</v>
      </c>
    </row>
    <row r="144" spans="1:22">
      <c r="A144" s="94"/>
      <c r="B144" s="94"/>
      <c r="E144" s="94"/>
    </row>
    <row r="145" spans="1:18">
      <c r="A145" s="94"/>
      <c r="B145" s="94"/>
      <c r="E145" s="94"/>
      <c r="O145" t="s">
        <v>6508</v>
      </c>
      <c r="P145" s="18">
        <v>70000000</v>
      </c>
    </row>
    <row r="146" spans="1:18">
      <c r="A146" s="94"/>
      <c r="B146" s="94"/>
      <c r="E146" s="94"/>
      <c r="O146" t="s">
        <v>25</v>
      </c>
    </row>
    <row r="147" spans="1:18">
      <c r="A147" s="94"/>
      <c r="B147" s="94"/>
      <c r="E147" s="94"/>
      <c r="P147">
        <v>1</v>
      </c>
      <c r="Q147" t="s">
        <v>25</v>
      </c>
      <c r="R147" t="s">
        <v>25</v>
      </c>
    </row>
    <row r="148" spans="1:18">
      <c r="O148" t="s">
        <v>25</v>
      </c>
      <c r="R148" t="s">
        <v>25</v>
      </c>
    </row>
    <row r="149" spans="1:18">
      <c r="P149" t="s">
        <v>25</v>
      </c>
      <c r="R149" t="s">
        <v>25</v>
      </c>
    </row>
    <row r="150" spans="1:18">
      <c r="R150" t="s">
        <v>25</v>
      </c>
    </row>
    <row r="151" spans="1:18">
      <c r="O151" t="s">
        <v>25</v>
      </c>
    </row>
    <row r="153" spans="1:18">
      <c r="R153"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4932</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4937</v>
      </c>
      <c r="F65" s="94"/>
      <c r="G65" s="94"/>
      <c r="H65" s="94"/>
      <c r="I65" s="94"/>
      <c r="J65" s="94"/>
      <c r="K65" s="94"/>
      <c r="L65" s="94"/>
      <c r="M65" s="94"/>
      <c r="N65" s="94"/>
      <c r="O65" s="94"/>
      <c r="P65" s="94"/>
      <c r="Q65" s="94"/>
      <c r="R65" s="94"/>
      <c r="S65" s="94"/>
      <c r="T65" s="94"/>
      <c r="U65" s="94"/>
    </row>
    <row r="66" spans="1:21">
      <c r="A66" s="94"/>
      <c r="B66" s="94"/>
      <c r="C66" s="94"/>
      <c r="D66" s="18">
        <v>-2290500</v>
      </c>
      <c r="E66" s="237" t="s">
        <v>4938</v>
      </c>
      <c r="F66" s="94"/>
      <c r="G66" s="94"/>
      <c r="H66" s="94"/>
      <c r="I66" s="94"/>
      <c r="J66" s="94"/>
      <c r="K66" s="94"/>
      <c r="L66" s="94"/>
      <c r="M66" s="94"/>
      <c r="N66" s="94"/>
      <c r="O66" s="94"/>
      <c r="P66" s="94"/>
      <c r="Q66" s="94"/>
      <c r="R66" s="94"/>
      <c r="S66" s="94"/>
      <c r="T66" s="94"/>
      <c r="U66" s="94"/>
    </row>
    <row r="67" spans="1:21">
      <c r="A67" s="94"/>
      <c r="B67" s="94"/>
      <c r="C67" s="94"/>
      <c r="D67" s="18">
        <v>1700000</v>
      </c>
      <c r="E67" s="237" t="s">
        <v>4945</v>
      </c>
      <c r="F67" s="94"/>
      <c r="G67" s="94"/>
      <c r="H67" s="94"/>
      <c r="I67" s="94"/>
      <c r="J67" s="94"/>
      <c r="K67" s="94"/>
      <c r="L67" s="94"/>
      <c r="M67" s="94"/>
      <c r="N67" s="94"/>
      <c r="O67" s="94"/>
      <c r="P67" s="94"/>
      <c r="Q67" s="94"/>
      <c r="R67" s="94"/>
      <c r="S67" s="94"/>
      <c r="T67" s="94"/>
      <c r="U67" s="94"/>
    </row>
    <row r="68" spans="1:21">
      <c r="A68" s="94"/>
      <c r="B68" s="94"/>
      <c r="C68" s="94"/>
      <c r="D68" s="18">
        <v>-150000</v>
      </c>
      <c r="E68" s="237" t="s">
        <v>4950</v>
      </c>
      <c r="F68" s="94"/>
      <c r="G68" s="94"/>
      <c r="H68" s="94"/>
      <c r="I68" s="94"/>
      <c r="J68" s="94"/>
      <c r="K68" s="94"/>
      <c r="L68" s="94"/>
      <c r="M68" s="94"/>
      <c r="N68" s="94"/>
      <c r="O68" s="94"/>
      <c r="P68" s="94"/>
      <c r="Q68" s="94"/>
      <c r="R68" s="94"/>
      <c r="S68" s="94"/>
      <c r="T68" s="94"/>
      <c r="U68" s="94"/>
    </row>
    <row r="69" spans="1:21">
      <c r="A69" s="94"/>
      <c r="B69" s="94"/>
      <c r="C69" s="94"/>
      <c r="D69" s="18">
        <v>-550000</v>
      </c>
      <c r="E69" s="237" t="s">
        <v>4953</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4971</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4985</v>
      </c>
      <c r="F71" s="94"/>
      <c r="G71" s="94"/>
      <c r="H71" s="94"/>
      <c r="I71" s="94"/>
      <c r="J71" s="94"/>
      <c r="K71" s="94"/>
      <c r="L71" s="94"/>
      <c r="M71" s="94"/>
      <c r="N71" s="94"/>
      <c r="O71" s="94"/>
      <c r="P71" s="94"/>
      <c r="Q71" s="94"/>
      <c r="R71" s="94"/>
      <c r="S71" s="94"/>
      <c r="T71" s="94"/>
      <c r="U71" s="94"/>
    </row>
    <row r="72" spans="1:21">
      <c r="A72" s="94"/>
      <c r="B72" s="94"/>
      <c r="C72" s="94"/>
      <c r="D72" s="18">
        <v>1500000</v>
      </c>
      <c r="E72" s="237" t="s">
        <v>4986</v>
      </c>
      <c r="F72" s="94"/>
      <c r="G72" s="94"/>
      <c r="H72" s="94"/>
      <c r="I72" s="94"/>
      <c r="J72" s="94"/>
      <c r="K72" s="94"/>
      <c r="L72" s="94"/>
      <c r="M72" s="94"/>
      <c r="N72" s="94"/>
      <c r="O72" s="94"/>
      <c r="P72" s="94"/>
      <c r="Q72" s="94"/>
      <c r="R72" s="94"/>
      <c r="S72" s="94"/>
      <c r="T72" s="94"/>
      <c r="U72" s="94"/>
    </row>
    <row r="73" spans="1:21">
      <c r="A73" s="94"/>
      <c r="B73" s="94"/>
      <c r="C73" s="94"/>
      <c r="D73" s="18">
        <v>-550000</v>
      </c>
      <c r="E73" s="237" t="s">
        <v>4990</v>
      </c>
      <c r="F73" s="94"/>
      <c r="G73" s="94"/>
      <c r="H73" s="94"/>
      <c r="I73" s="94"/>
      <c r="J73" s="94"/>
      <c r="K73" s="94"/>
      <c r="L73" s="94"/>
      <c r="M73" s="94"/>
      <c r="N73" s="94"/>
      <c r="O73" s="94"/>
      <c r="P73" s="94"/>
      <c r="Q73" s="94"/>
      <c r="R73" s="94"/>
      <c r="S73" s="94"/>
      <c r="T73" s="94"/>
      <c r="U73" s="94"/>
    </row>
    <row r="74" spans="1:21">
      <c r="A74" s="94"/>
      <c r="B74" s="94"/>
      <c r="C74" s="94"/>
      <c r="D74" s="18">
        <v>-50000</v>
      </c>
      <c r="E74" s="237" t="s">
        <v>4991</v>
      </c>
      <c r="F74" s="94"/>
      <c r="G74" s="94"/>
      <c r="H74" s="94"/>
      <c r="I74" s="94"/>
      <c r="J74" s="94"/>
      <c r="K74" s="94"/>
      <c r="L74" s="94"/>
      <c r="M74" s="94"/>
      <c r="N74" s="94"/>
      <c r="O74" s="94"/>
      <c r="P74" s="94"/>
      <c r="Q74" s="94"/>
      <c r="R74" s="94"/>
      <c r="S74" s="94"/>
      <c r="T74" s="94"/>
      <c r="U74" s="94"/>
    </row>
    <row r="75" spans="1:21">
      <c r="A75" s="94"/>
      <c r="B75" s="94"/>
      <c r="C75" s="94"/>
      <c r="D75" s="18">
        <v>-60000</v>
      </c>
      <c r="E75" s="237" t="s">
        <v>4992</v>
      </c>
      <c r="F75" s="94"/>
      <c r="G75" s="94"/>
      <c r="H75" s="94"/>
      <c r="I75" s="94"/>
      <c r="J75" s="94"/>
      <c r="K75" s="94"/>
      <c r="L75" s="94"/>
      <c r="M75" s="94"/>
      <c r="N75" s="94"/>
      <c r="O75" s="94"/>
      <c r="P75" s="94"/>
      <c r="Q75" s="94"/>
      <c r="R75" s="94"/>
      <c r="S75" s="94"/>
      <c r="T75" s="94"/>
      <c r="U75" s="94"/>
    </row>
    <row r="76" spans="1:21">
      <c r="A76" s="94"/>
      <c r="B76" s="94"/>
      <c r="C76" s="94"/>
      <c r="D76" s="18">
        <v>-43000</v>
      </c>
      <c r="E76" s="237" t="s">
        <v>5000</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5007</v>
      </c>
      <c r="F78" s="94"/>
      <c r="G78" s="94"/>
      <c r="H78" s="94"/>
      <c r="I78" s="94"/>
      <c r="J78" s="94"/>
      <c r="K78" s="94"/>
      <c r="L78" s="94"/>
      <c r="M78" s="94"/>
      <c r="N78" s="94"/>
      <c r="O78" s="94"/>
      <c r="P78" s="94"/>
      <c r="Q78" s="94"/>
      <c r="R78" s="94"/>
      <c r="S78" s="94"/>
      <c r="T78" s="94"/>
      <c r="U78" s="94"/>
    </row>
    <row r="79" spans="1:21">
      <c r="A79" s="94"/>
      <c r="B79" s="94"/>
      <c r="C79" s="94"/>
      <c r="D79" s="18">
        <v>-750000</v>
      </c>
      <c r="E79" s="237" t="s">
        <v>5013</v>
      </c>
      <c r="F79" s="94"/>
      <c r="G79" s="94"/>
      <c r="H79" s="94"/>
      <c r="I79" s="94"/>
      <c r="J79" s="94"/>
      <c r="K79" s="94"/>
      <c r="L79" s="94"/>
      <c r="M79" s="94"/>
      <c r="N79" s="94"/>
      <c r="O79" s="94"/>
      <c r="P79" s="94"/>
      <c r="Q79" s="94"/>
      <c r="R79" s="94"/>
      <c r="S79" s="94"/>
      <c r="T79" s="94"/>
      <c r="U79" s="94"/>
    </row>
    <row r="80" spans="1:21">
      <c r="A80" s="94"/>
      <c r="B80" s="94"/>
      <c r="C80" s="94"/>
      <c r="D80" s="18">
        <v>50000</v>
      </c>
      <c r="E80" s="237" t="s">
        <v>5025</v>
      </c>
      <c r="F80" s="94"/>
      <c r="G80" s="94"/>
      <c r="H80" s="94"/>
      <c r="I80" s="94"/>
      <c r="J80" s="94"/>
      <c r="K80" s="94"/>
      <c r="L80" s="94"/>
      <c r="M80" s="94"/>
      <c r="N80" s="94"/>
      <c r="O80" s="94"/>
      <c r="P80" s="94"/>
      <c r="Q80" s="94"/>
      <c r="R80" s="94"/>
      <c r="S80" s="94"/>
      <c r="T80" s="94"/>
      <c r="U80" s="94"/>
    </row>
    <row r="81" spans="1:21">
      <c r="A81" s="94"/>
      <c r="B81" s="94"/>
      <c r="C81" s="94"/>
      <c r="D81" s="18">
        <v>500000</v>
      </c>
      <c r="E81" s="237" t="s">
        <v>5038</v>
      </c>
      <c r="F81" s="94"/>
      <c r="G81" s="94"/>
      <c r="H81" s="94"/>
      <c r="I81" s="94"/>
      <c r="J81" s="94"/>
      <c r="K81" s="94"/>
      <c r="L81" s="94"/>
      <c r="M81" s="94"/>
      <c r="N81" s="94"/>
      <c r="O81" s="94"/>
      <c r="P81" s="94"/>
      <c r="Q81" s="94"/>
      <c r="R81" s="94"/>
      <c r="S81" s="94"/>
      <c r="T81" s="94"/>
      <c r="U81" s="94"/>
    </row>
    <row r="82" spans="1:21">
      <c r="A82" s="94"/>
      <c r="B82" s="94"/>
      <c r="C82" s="94"/>
      <c r="D82" s="18">
        <v>1500000</v>
      </c>
      <c r="E82" s="237" t="s">
        <v>5037</v>
      </c>
      <c r="F82" s="94"/>
      <c r="G82" s="94"/>
      <c r="H82" s="94"/>
      <c r="I82" s="94"/>
      <c r="J82" s="94"/>
      <c r="K82" s="94"/>
      <c r="L82" s="94"/>
      <c r="M82" s="94"/>
      <c r="N82" s="94"/>
      <c r="O82" s="94"/>
      <c r="P82" s="94"/>
      <c r="Q82" s="94"/>
      <c r="R82" s="94"/>
      <c r="S82" s="94"/>
      <c r="T82" s="94"/>
      <c r="U82" s="94"/>
    </row>
    <row r="83" spans="1:21">
      <c r="D83" s="18">
        <v>-510000</v>
      </c>
      <c r="E83" s="237" t="s">
        <v>5039</v>
      </c>
      <c r="H83" t="s">
        <v>25</v>
      </c>
    </row>
    <row r="84" spans="1:21">
      <c r="D84" s="18">
        <v>-400000</v>
      </c>
      <c r="E84" s="237" t="s">
        <v>5053</v>
      </c>
    </row>
    <row r="85" spans="1:21">
      <c r="D85" s="18">
        <v>250000</v>
      </c>
      <c r="E85" s="237" t="s">
        <v>5059</v>
      </c>
    </row>
    <row r="86" spans="1:21">
      <c r="D86" s="18">
        <v>-50000</v>
      </c>
      <c r="E86" s="237" t="s">
        <v>5060</v>
      </c>
    </row>
    <row r="87" spans="1:21">
      <c r="D87" s="18">
        <v>-300000</v>
      </c>
      <c r="E87" s="237" t="s">
        <v>5064</v>
      </c>
    </row>
    <row r="88" spans="1:21">
      <c r="D88" s="18">
        <v>-100000</v>
      </c>
      <c r="E88" s="237" t="s">
        <v>5075</v>
      </c>
      <c r="I88" t="s">
        <v>25</v>
      </c>
    </row>
    <row r="89" spans="1:21">
      <c r="D89" s="18">
        <v>-250000</v>
      </c>
      <c r="E89" s="237" t="s">
        <v>5085</v>
      </c>
    </row>
    <row r="90" spans="1:21">
      <c r="D90" s="18">
        <v>-45000</v>
      </c>
      <c r="E90" s="237" t="s">
        <v>5108</v>
      </c>
    </row>
    <row r="91" spans="1:21">
      <c r="D91" s="18">
        <v>3000000</v>
      </c>
      <c r="E91" s="237" t="s">
        <v>5109</v>
      </c>
      <c r="I91" t="s">
        <v>25</v>
      </c>
    </row>
    <row r="92" spans="1:21">
      <c r="D92" s="18">
        <v>-550000</v>
      </c>
      <c r="E92" s="237" t="s">
        <v>5110</v>
      </c>
    </row>
    <row r="93" spans="1:21">
      <c r="D93" s="18">
        <v>-200000</v>
      </c>
      <c r="E93" s="237" t="s">
        <v>5122</v>
      </c>
      <c r="G93" t="s">
        <v>25</v>
      </c>
    </row>
    <row r="94" spans="1:21">
      <c r="D94" s="18">
        <v>-30500</v>
      </c>
      <c r="E94" s="237" t="s">
        <v>5123</v>
      </c>
    </row>
    <row r="95" spans="1:21">
      <c r="D95" s="18">
        <v>2500000</v>
      </c>
      <c r="E95" s="237" t="s">
        <v>5155</v>
      </c>
      <c r="I95" t="s">
        <v>25</v>
      </c>
    </row>
    <row r="96" spans="1:21">
      <c r="D96" s="18">
        <v>-230000</v>
      </c>
      <c r="E96" s="237" t="s">
        <v>5161</v>
      </c>
    </row>
    <row r="97" spans="4:10">
      <c r="D97" s="18">
        <v>-168950</v>
      </c>
      <c r="E97" s="237" t="s">
        <v>4378</v>
      </c>
      <c r="J97" t="s">
        <v>25</v>
      </c>
    </row>
    <row r="98" spans="4:10">
      <c r="D98" s="18">
        <v>-250000</v>
      </c>
      <c r="E98" s="237" t="s">
        <v>5172</v>
      </c>
    </row>
    <row r="99" spans="4:10">
      <c r="D99" s="18">
        <v>500000</v>
      </c>
      <c r="E99" s="237" t="s">
        <v>5183</v>
      </c>
    </row>
    <row r="100" spans="4:10">
      <c r="D100" s="18">
        <v>-520000</v>
      </c>
      <c r="E100" s="237" t="s">
        <v>5182</v>
      </c>
      <c r="J100" t="s">
        <v>25</v>
      </c>
    </row>
    <row r="101" spans="4:10">
      <c r="D101" s="18">
        <v>500000</v>
      </c>
      <c r="E101" s="237" t="s">
        <v>5193</v>
      </c>
    </row>
    <row r="102" spans="4:10">
      <c r="D102" s="18">
        <v>-200000</v>
      </c>
      <c r="E102" s="237" t="s">
        <v>5197</v>
      </c>
    </row>
    <row r="103" spans="4:10">
      <c r="D103" s="18">
        <v>-300000</v>
      </c>
      <c r="E103" s="237" t="s">
        <v>5198</v>
      </c>
    </row>
    <row r="104" spans="4:10">
      <c r="D104" s="18">
        <v>-530000</v>
      </c>
      <c r="E104" s="237" t="s">
        <v>5216</v>
      </c>
    </row>
    <row r="105" spans="4:10">
      <c r="D105" s="18">
        <v>-550000</v>
      </c>
      <c r="E105" s="237" t="s">
        <v>5218</v>
      </c>
    </row>
    <row r="106" spans="4:10">
      <c r="D106" s="18">
        <v>-200000</v>
      </c>
      <c r="E106" s="237" t="s">
        <v>5240</v>
      </c>
    </row>
    <row r="107" spans="4:10">
      <c r="D107" s="18">
        <v>-1600000</v>
      </c>
      <c r="E107" s="237" t="s">
        <v>5242</v>
      </c>
      <c r="G107" t="s">
        <v>25</v>
      </c>
    </row>
    <row r="108" spans="4:10">
      <c r="D108" s="18">
        <v>1600000</v>
      </c>
      <c r="E108" s="237" t="s">
        <v>5246</v>
      </c>
    </row>
    <row r="109" spans="4:10">
      <c r="D109" s="18">
        <v>-550000</v>
      </c>
      <c r="E109" s="237" t="s">
        <v>5248</v>
      </c>
    </row>
    <row r="110" spans="4:10">
      <c r="D110" s="18">
        <v>-15000</v>
      </c>
      <c r="E110" s="237" t="s">
        <v>5253</v>
      </c>
    </row>
    <row r="111" spans="4:10">
      <c r="D111" s="18">
        <v>-325000</v>
      </c>
      <c r="E111" s="237" t="s">
        <v>5266</v>
      </c>
    </row>
    <row r="112" spans="4:10">
      <c r="D112" s="18">
        <v>-130000</v>
      </c>
      <c r="E112" s="237" t="s">
        <v>5267</v>
      </c>
    </row>
    <row r="113" spans="4:10">
      <c r="D113" s="18">
        <v>-250000</v>
      </c>
      <c r="E113" s="237" t="s">
        <v>5275</v>
      </c>
      <c r="J113" t="s">
        <v>25</v>
      </c>
    </row>
    <row r="114" spans="4:10">
      <c r="D114" s="18">
        <v>-750000</v>
      </c>
      <c r="E114" s="237" t="s">
        <v>5278</v>
      </c>
    </row>
    <row r="115" spans="4:10">
      <c r="D115" s="18">
        <v>250000</v>
      </c>
      <c r="E115" s="237" t="s">
        <v>5284</v>
      </c>
    </row>
    <row r="116" spans="4:10">
      <c r="D116" s="18">
        <v>-2100000</v>
      </c>
      <c r="E116" s="237" t="s">
        <v>5296</v>
      </c>
    </row>
    <row r="117" spans="4:10">
      <c r="D117" s="18">
        <v>-1000000</v>
      </c>
      <c r="E117" s="237" t="s">
        <v>5305</v>
      </c>
    </row>
    <row r="118" spans="4:10">
      <c r="D118" s="18">
        <v>-100000</v>
      </c>
      <c r="E118" s="237" t="s">
        <v>5306</v>
      </c>
    </row>
    <row r="119" spans="4:10">
      <c r="D119" s="18">
        <v>-550000</v>
      </c>
      <c r="E119" s="237" t="s">
        <v>5336</v>
      </c>
    </row>
    <row r="120" spans="4:10">
      <c r="D120" s="18">
        <v>-550000</v>
      </c>
      <c r="E120" s="237" t="s">
        <v>5337</v>
      </c>
    </row>
    <row r="121" spans="4:10">
      <c r="D121" s="18">
        <v>-390000</v>
      </c>
      <c r="E121" s="237" t="s">
        <v>5360</v>
      </c>
      <c r="H121" t="s">
        <v>25</v>
      </c>
      <c r="J121" t="s">
        <v>25</v>
      </c>
    </row>
    <row r="122" spans="4:10">
      <c r="D122" s="18">
        <v>2432520</v>
      </c>
      <c r="E122" s="237" t="s">
        <v>5361</v>
      </c>
    </row>
    <row r="123" spans="4:10">
      <c r="D123" s="18">
        <v>8000000</v>
      </c>
      <c r="E123" s="237" t="s">
        <v>5376</v>
      </c>
    </row>
    <row r="124" spans="4:10">
      <c r="D124" s="18">
        <v>-83930</v>
      </c>
      <c r="E124" s="237" t="s">
        <v>5385</v>
      </c>
    </row>
    <row r="125" spans="4:10">
      <c r="D125" s="18">
        <v>1000000</v>
      </c>
      <c r="E125" s="237" t="s">
        <v>5414</v>
      </c>
    </row>
    <row r="126" spans="4:10">
      <c r="D126" s="18">
        <v>-1333333</v>
      </c>
      <c r="E126" s="237" t="s">
        <v>5415</v>
      </c>
      <c r="J126" t="s">
        <v>25</v>
      </c>
    </row>
    <row r="127" spans="4:10">
      <c r="D127" s="18">
        <v>-1050000</v>
      </c>
      <c r="E127" s="237" t="s">
        <v>5431</v>
      </c>
    </row>
    <row r="128" spans="4:10">
      <c r="D128" s="18">
        <v>-2000000</v>
      </c>
      <c r="E128" s="237" t="s">
        <v>5439</v>
      </c>
      <c r="I128" t="s">
        <v>25</v>
      </c>
    </row>
    <row r="129" spans="4:5">
      <c r="D129" s="18">
        <v>-250000</v>
      </c>
      <c r="E129" s="237" t="s">
        <v>5447</v>
      </c>
    </row>
    <row r="130" spans="4:5">
      <c r="D130" s="18">
        <v>-550000</v>
      </c>
      <c r="E130" s="237" t="s">
        <v>5455</v>
      </c>
    </row>
    <row r="131" spans="4:5">
      <c r="D131" s="18">
        <v>210000</v>
      </c>
      <c r="E131" s="237" t="s">
        <v>5456</v>
      </c>
    </row>
    <row r="132" spans="4:5">
      <c r="D132" s="18">
        <v>-724200</v>
      </c>
      <c r="E132" s="237" t="s">
        <v>5488</v>
      </c>
    </row>
    <row r="133" spans="4:5">
      <c r="D133" s="18">
        <v>-400000</v>
      </c>
      <c r="E133" s="237" t="s">
        <v>5499</v>
      </c>
    </row>
    <row r="134" spans="4:5">
      <c r="D134" s="18">
        <v>-550000</v>
      </c>
      <c r="E134" s="237" t="s">
        <v>5507</v>
      </c>
    </row>
    <row r="135" spans="4:5">
      <c r="D135" s="18">
        <v>-2167000</v>
      </c>
      <c r="E135" s="237" t="s">
        <v>5510</v>
      </c>
    </row>
    <row r="136" spans="4:5">
      <c r="D136" s="18">
        <v>-125000</v>
      </c>
      <c r="E136" s="237" t="s">
        <v>5517</v>
      </c>
    </row>
    <row r="137" spans="4:5">
      <c r="D137" s="18">
        <v>-200000</v>
      </c>
      <c r="E137" s="237" t="s">
        <v>5524</v>
      </c>
    </row>
    <row r="138" spans="4:5">
      <c r="D138" s="18">
        <v>-2000000</v>
      </c>
      <c r="E138" s="237" t="s">
        <v>5538</v>
      </c>
    </row>
    <row r="139" spans="4:5">
      <c r="D139" s="18">
        <v>-1287000</v>
      </c>
      <c r="E139" s="237" t="s">
        <v>5545</v>
      </c>
    </row>
    <row r="140" spans="4:5">
      <c r="D140" s="18">
        <v>-2000000</v>
      </c>
      <c r="E140" s="237" t="s">
        <v>5549</v>
      </c>
    </row>
    <row r="141" spans="4:5">
      <c r="D141" s="18">
        <v>-2500000</v>
      </c>
      <c r="E141" s="237" t="s">
        <v>5550</v>
      </c>
    </row>
    <row r="142" spans="4:5">
      <c r="D142" s="18">
        <v>-500000</v>
      </c>
      <c r="E142" s="237" t="s">
        <v>5566</v>
      </c>
    </row>
    <row r="143" spans="4:5">
      <c r="D143" s="18">
        <v>-83930</v>
      </c>
      <c r="E143" s="237" t="s">
        <v>5574</v>
      </c>
    </row>
    <row r="144" spans="4:5">
      <c r="D144" s="18">
        <v>-550000</v>
      </c>
      <c r="E144" s="237" t="s">
        <v>5573</v>
      </c>
    </row>
    <row r="145" spans="4:9">
      <c r="D145" s="18">
        <v>-25000</v>
      </c>
      <c r="E145" s="237" t="s">
        <v>5582</v>
      </c>
      <c r="I145" t="s">
        <v>25</v>
      </c>
    </row>
    <row r="146" spans="4:9">
      <c r="D146" s="18">
        <v>-180000</v>
      </c>
      <c r="E146" s="237" t="s">
        <v>5635</v>
      </c>
      <c r="G146" t="s">
        <v>25</v>
      </c>
    </row>
    <row r="147" spans="4:9">
      <c r="D147" s="18">
        <v>-30000</v>
      </c>
      <c r="E147" s="237" t="s">
        <v>5634</v>
      </c>
    </row>
    <row r="148" spans="4:9">
      <c r="D148" s="18">
        <v>-47000</v>
      </c>
      <c r="E148" s="237" t="s">
        <v>5633</v>
      </c>
    </row>
    <row r="149" spans="4:9">
      <c r="D149" s="18">
        <v>-1000000</v>
      </c>
      <c r="E149" s="237" t="s">
        <v>5636</v>
      </c>
    </row>
    <row r="150" spans="4:9">
      <c r="D150" s="18">
        <v>-500000</v>
      </c>
      <c r="E150" s="237" t="s">
        <v>5649</v>
      </c>
    </row>
    <row r="151" spans="4:9">
      <c r="D151" s="18">
        <v>-5000000</v>
      </c>
      <c r="E151" s="237" t="s">
        <v>5655</v>
      </c>
    </row>
    <row r="152" spans="4:9">
      <c r="D152" s="18">
        <v>-200000</v>
      </c>
      <c r="E152" s="237" t="s">
        <v>5665</v>
      </c>
    </row>
    <row r="153" spans="4:9">
      <c r="D153" s="18">
        <v>-268000</v>
      </c>
      <c r="E153" s="237" t="s">
        <v>5698</v>
      </c>
      <c r="I153" t="s">
        <v>25</v>
      </c>
    </row>
    <row r="154" spans="4:9">
      <c r="D154" s="18">
        <v>-1800000</v>
      </c>
      <c r="E154" s="237" t="s">
        <v>5717</v>
      </c>
    </row>
    <row r="155" spans="4:9" ht="30">
      <c r="D155" s="18">
        <v>-3200000</v>
      </c>
      <c r="E155" s="237" t="s">
        <v>5718</v>
      </c>
      <c r="I155" t="s">
        <v>25</v>
      </c>
    </row>
    <row r="156" spans="4:9">
      <c r="D156" s="18">
        <v>-300000</v>
      </c>
      <c r="E156" s="237" t="s">
        <v>5728</v>
      </c>
    </row>
    <row r="157" spans="4:9">
      <c r="D157" s="18">
        <v>-1300000</v>
      </c>
      <c r="E157" s="237" t="s">
        <v>5729</v>
      </c>
    </row>
    <row r="158" spans="4:9">
      <c r="D158" s="18">
        <v>860000</v>
      </c>
      <c r="E158" s="237" t="s">
        <v>5747</v>
      </c>
    </row>
    <row r="159" spans="4:9">
      <c r="D159" s="18">
        <v>-83900</v>
      </c>
      <c r="E159" s="237" t="s">
        <v>5759</v>
      </c>
      <c r="I159" t="s">
        <v>25</v>
      </c>
    </row>
    <row r="160" spans="4:9">
      <c r="D160" s="18">
        <v>-3810000</v>
      </c>
      <c r="E160" s="237" t="s">
        <v>5778</v>
      </c>
      <c r="H160" t="s">
        <v>25</v>
      </c>
    </row>
    <row r="161" spans="4:9">
      <c r="D161" s="18">
        <v>30000000</v>
      </c>
      <c r="E161" s="237" t="s">
        <v>5911</v>
      </c>
      <c r="I161" t="s">
        <v>25</v>
      </c>
    </row>
    <row r="162" spans="4:9">
      <c r="D162" s="18">
        <v>50000000</v>
      </c>
      <c r="E162" s="237" t="s">
        <v>5932</v>
      </c>
    </row>
    <row r="163" spans="4:9">
      <c r="D163" s="18">
        <v>-19100000</v>
      </c>
      <c r="E163" s="237" t="s">
        <v>5931</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1831</v>
      </c>
      <c r="C5" s="97"/>
      <c r="D5" s="97"/>
      <c r="F5" s="130">
        <v>0.2</v>
      </c>
      <c r="G5" s="130">
        <v>0.46</v>
      </c>
      <c r="I5" s="97"/>
      <c r="J5" s="97"/>
      <c r="L5" s="97" t="s">
        <v>3689</v>
      </c>
      <c r="M5" s="97">
        <v>6150</v>
      </c>
      <c r="U5" s="94"/>
      <c r="V5" s="94"/>
      <c r="W5" s="94"/>
      <c r="X5" s="94"/>
      <c r="Y5" s="94"/>
      <c r="Z5" s="94"/>
    </row>
    <row r="6" spans="1:35" ht="20.25" customHeight="1">
      <c r="A6" s="97" t="s">
        <v>1100</v>
      </c>
      <c r="B6" s="97">
        <v>21000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9054832.3054662365</v>
      </c>
      <c r="C8" s="97">
        <f>B2*B4*B5/(B1*B3)+B7/B6</f>
        <v>431.18249073648747</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1345167.6945337635</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4962</v>
      </c>
      <c r="X20" s="41">
        <v>9194342556</v>
      </c>
      <c r="Y20" s="41">
        <v>200</v>
      </c>
      <c r="Z20" s="41" t="s">
        <v>4488</v>
      </c>
      <c r="AA20" t="s">
        <v>4944</v>
      </c>
      <c r="AB20" s="94"/>
      <c r="AC20" s="94"/>
      <c r="AD20" s="94"/>
      <c r="AE20" s="94"/>
      <c r="AF20" s="94"/>
      <c r="AG20" s="94"/>
      <c r="AH20" s="94"/>
      <c r="AI20" s="94"/>
    </row>
    <row r="21" spans="5:35">
      <c r="O21" s="97"/>
      <c r="P21" s="97"/>
      <c r="Q21" s="324" t="s">
        <v>1073</v>
      </c>
      <c r="R21" s="324"/>
      <c r="S21" s="324"/>
      <c r="T21" s="324"/>
      <c r="U21" s="94"/>
      <c r="V21" s="94"/>
      <c r="W21" s="41" t="s">
        <v>4961</v>
      </c>
      <c r="X21" s="41">
        <v>9035210431</v>
      </c>
      <c r="Y21" s="41">
        <v>50</v>
      </c>
      <c r="Z21" s="41" t="s">
        <v>5223</v>
      </c>
      <c r="AA21" t="s">
        <v>4979</v>
      </c>
    </row>
    <row r="22" spans="5:35">
      <c r="O22" s="97"/>
      <c r="P22" s="97"/>
      <c r="Q22" s="324"/>
      <c r="R22" s="324"/>
      <c r="S22" s="324"/>
      <c r="T22" s="324"/>
      <c r="U22" s="94"/>
      <c r="V22" s="94"/>
      <c r="W22" s="41" t="s">
        <v>5048</v>
      </c>
      <c r="X22" s="41">
        <v>9909620343</v>
      </c>
      <c r="Y22" s="41">
        <v>200</v>
      </c>
      <c r="Z22" s="41" t="s">
        <v>5224</v>
      </c>
      <c r="AA22" t="s">
        <v>5227</v>
      </c>
      <c r="AB22" s="41" t="s">
        <v>5235</v>
      </c>
    </row>
    <row r="23" spans="5:35" ht="15.75">
      <c r="O23" s="176"/>
      <c r="P23" s="97" t="s">
        <v>4069</v>
      </c>
      <c r="Q23" s="325" t="s">
        <v>1074</v>
      </c>
      <c r="R23" s="326" t="s">
        <v>1075</v>
      </c>
      <c r="S23" s="325" t="s">
        <v>1076</v>
      </c>
      <c r="T23" s="327" t="s">
        <v>1077</v>
      </c>
      <c r="W23" s="41" t="s">
        <v>5049</v>
      </c>
      <c r="X23" s="41">
        <v>9378807702</v>
      </c>
      <c r="Y23" s="41">
        <v>0</v>
      </c>
      <c r="Z23" s="41">
        <v>0</v>
      </c>
      <c r="AD23" t="s">
        <v>25</v>
      </c>
    </row>
    <row r="24" spans="5:35">
      <c r="O24" s="97"/>
      <c r="P24" s="97"/>
      <c r="Q24" s="325"/>
      <c r="R24" s="326"/>
      <c r="S24" s="325"/>
      <c r="T24" s="327"/>
      <c r="W24" s="41" t="s">
        <v>5070</v>
      </c>
      <c r="X24" s="41"/>
      <c r="Y24" s="41">
        <v>200</v>
      </c>
      <c r="Z24" s="41" t="s">
        <v>4488</v>
      </c>
      <c r="AA24" t="s">
        <v>5082</v>
      </c>
      <c r="AB24" t="s">
        <v>5130</v>
      </c>
    </row>
    <row r="25" spans="5:35">
      <c r="O25" s="171" t="s">
        <v>4124</v>
      </c>
      <c r="P25" s="171">
        <v>2182188507</v>
      </c>
      <c r="Q25" s="172" t="s">
        <v>1078</v>
      </c>
      <c r="R25" s="172" t="s">
        <v>4070</v>
      </c>
      <c r="S25" s="172" t="s">
        <v>4075</v>
      </c>
      <c r="T25" s="172" t="s">
        <v>1079</v>
      </c>
      <c r="W25" s="41" t="s">
        <v>5087</v>
      </c>
      <c r="X25" s="41">
        <v>9013075723</v>
      </c>
      <c r="Y25" s="41">
        <v>100</v>
      </c>
      <c r="Z25" s="41" t="s">
        <v>5223</v>
      </c>
      <c r="AA25" t="s">
        <v>5151</v>
      </c>
    </row>
    <row r="26" spans="5:35">
      <c r="O26" s="171"/>
      <c r="P26" s="171">
        <v>2123095122</v>
      </c>
      <c r="Q26" s="173" t="s">
        <v>1080</v>
      </c>
      <c r="R26" s="173" t="s">
        <v>1081</v>
      </c>
      <c r="S26" s="173" t="s">
        <v>1082</v>
      </c>
      <c r="T26" s="173" t="s">
        <v>1083</v>
      </c>
      <c r="U26" s="94"/>
      <c r="V26" s="94"/>
      <c r="W26" s="41" t="s">
        <v>5225</v>
      </c>
      <c r="X26" s="41">
        <v>9214923916</v>
      </c>
      <c r="Y26" s="41">
        <v>100</v>
      </c>
      <c r="Z26" s="41" t="s">
        <v>4488</v>
      </c>
      <c r="AA26" s="203" t="s">
        <v>5219</v>
      </c>
      <c r="AB26" s="94"/>
    </row>
    <row r="27" spans="5:35" ht="30">
      <c r="O27" s="171" t="s">
        <v>4179</v>
      </c>
      <c r="P27" s="171">
        <v>2188831909</v>
      </c>
      <c r="Q27" s="97" t="s">
        <v>4072</v>
      </c>
      <c r="R27" s="97" t="s">
        <v>4073</v>
      </c>
      <c r="S27" s="97" t="s">
        <v>4074</v>
      </c>
      <c r="T27" s="174" t="s">
        <v>4076</v>
      </c>
      <c r="U27" s="94"/>
      <c r="V27" s="94"/>
      <c r="W27" s="41" t="s">
        <v>5226</v>
      </c>
      <c r="X27" s="41" t="s">
        <v>5274</v>
      </c>
      <c r="Y27" s="41">
        <v>80</v>
      </c>
      <c r="Z27" s="41" t="s">
        <v>5223</v>
      </c>
      <c r="AA27" s="203" t="s">
        <v>5219</v>
      </c>
      <c r="AB27" s="94"/>
    </row>
    <row r="28" spans="5:35" ht="60">
      <c r="E28" t="s">
        <v>25</v>
      </c>
      <c r="T28" s="22" t="s">
        <v>4063</v>
      </c>
      <c r="U28" s="94"/>
      <c r="V28" s="94"/>
      <c r="W28" s="41" t="s">
        <v>5563</v>
      </c>
      <c r="X28" s="41">
        <v>9373349244</v>
      </c>
      <c r="Y28" s="41">
        <v>300</v>
      </c>
      <c r="Z28" s="41" t="s">
        <v>5564</v>
      </c>
      <c r="AA28" s="94" t="s">
        <v>5558</v>
      </c>
      <c r="AB28" s="41" t="s">
        <v>5630</v>
      </c>
    </row>
    <row r="29" spans="5:35">
      <c r="R29" s="94"/>
      <c r="S29" s="94"/>
      <c r="T29" s="94"/>
      <c r="U29" s="94"/>
      <c r="V29" s="94"/>
      <c r="W29" s="41" t="s">
        <v>5591</v>
      </c>
      <c r="X29" s="41">
        <v>9332154549</v>
      </c>
      <c r="Y29" s="41">
        <v>260</v>
      </c>
      <c r="Z29" s="41" t="s">
        <v>5564</v>
      </c>
      <c r="AA29" s="94" t="s">
        <v>5589</v>
      </c>
      <c r="AB29" s="41" t="s">
        <v>5829</v>
      </c>
    </row>
    <row r="30" spans="5:35">
      <c r="R30" s="94"/>
      <c r="S30" s="94"/>
      <c r="T30" s="94"/>
      <c r="U30" s="94"/>
      <c r="V30" s="94"/>
      <c r="W30" s="41" t="s">
        <v>5828</v>
      </c>
      <c r="X30" s="41">
        <v>9944625742</v>
      </c>
      <c r="Y30" s="41">
        <v>120</v>
      </c>
      <c r="Z30" s="41" t="s">
        <v>4488</v>
      </c>
      <c r="AA30" s="94" t="s">
        <v>5814</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5285</v>
      </c>
      <c r="E1" s="97"/>
      <c r="F1" s="97"/>
      <c r="G1" s="97"/>
      <c r="H1" s="97"/>
      <c r="I1" s="97"/>
    </row>
    <row r="2" spans="1:15">
      <c r="A2" s="97">
        <v>1</v>
      </c>
      <c r="B2" s="97" t="s">
        <v>5195</v>
      </c>
      <c r="C2" s="93">
        <v>28500</v>
      </c>
      <c r="D2" s="97" t="s">
        <v>5288</v>
      </c>
      <c r="E2" s="97"/>
      <c r="F2" s="97"/>
      <c r="G2" s="97"/>
      <c r="H2" s="97"/>
      <c r="I2" s="97"/>
    </row>
    <row r="3" spans="1:15">
      <c r="A3" s="97">
        <v>2</v>
      </c>
      <c r="B3" s="97" t="s">
        <v>5222</v>
      </c>
      <c r="C3" s="93">
        <v>180200</v>
      </c>
      <c r="D3" s="97" t="s">
        <v>5287</v>
      </c>
      <c r="E3" s="97"/>
      <c r="F3" s="97"/>
      <c r="G3" s="97"/>
      <c r="H3" s="97"/>
      <c r="I3" s="97"/>
    </row>
    <row r="4" spans="1:15">
      <c r="A4" s="97">
        <v>3</v>
      </c>
      <c r="B4" s="97" t="s">
        <v>5281</v>
      </c>
      <c r="C4" s="93">
        <v>187000</v>
      </c>
      <c r="D4" s="97" t="s">
        <v>5286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5937</v>
      </c>
      <c r="B1" s="207" t="s">
        <v>4422</v>
      </c>
      <c r="C1" s="207" t="s">
        <v>6457</v>
      </c>
      <c r="D1" s="207" t="s">
        <v>5936</v>
      </c>
      <c r="E1" s="207" t="s">
        <v>4835</v>
      </c>
      <c r="F1" s="207" t="s">
        <v>5939</v>
      </c>
      <c r="G1" s="207" t="s">
        <v>5941</v>
      </c>
      <c r="H1" s="207"/>
      <c r="I1" s="207"/>
      <c r="J1" s="207"/>
      <c r="K1" s="207"/>
      <c r="L1" s="207" t="s">
        <v>6458</v>
      </c>
      <c r="M1" s="207">
        <v>10000000000</v>
      </c>
      <c r="N1" s="207"/>
      <c r="O1" s="207"/>
      <c r="P1" s="207"/>
      <c r="Q1" s="207"/>
      <c r="R1" s="207"/>
      <c r="S1" s="207"/>
      <c r="T1" s="207"/>
      <c r="U1" s="207"/>
      <c r="V1" s="207"/>
      <c r="W1" s="207"/>
      <c r="X1" s="207"/>
      <c r="Y1" s="207"/>
      <c r="Z1" s="207"/>
      <c r="AA1" s="207"/>
      <c r="AB1" s="207"/>
      <c r="AC1" s="207"/>
    </row>
    <row r="2" spans="1:29">
      <c r="A2" s="207" t="s">
        <v>5956</v>
      </c>
      <c r="B2" s="207">
        <v>52293239</v>
      </c>
      <c r="C2" s="207">
        <f t="shared" ref="C2:C33" si="0">D2+E2</f>
        <v>2605542578</v>
      </c>
      <c r="D2" s="207" t="s">
        <v>5957</v>
      </c>
      <c r="E2" s="207" t="s">
        <v>5958</v>
      </c>
      <c r="F2" s="207" t="s">
        <v>5959</v>
      </c>
      <c r="G2" s="207" t="s">
        <v>5960</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5943</v>
      </c>
      <c r="B3" s="313">
        <v>39356047</v>
      </c>
      <c r="C3" s="207">
        <f t="shared" si="0"/>
        <v>3355161798</v>
      </c>
      <c r="D3" s="207" t="s">
        <v>5945</v>
      </c>
      <c r="E3" s="207" t="s">
        <v>5946</v>
      </c>
      <c r="F3" s="207" t="s">
        <v>5948</v>
      </c>
      <c r="G3" s="207" t="s">
        <v>5949</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5983</v>
      </c>
      <c r="B4" s="313">
        <v>27272507</v>
      </c>
      <c r="C4" s="207">
        <f t="shared" si="0"/>
        <v>2003857980</v>
      </c>
      <c r="D4" s="207" t="s">
        <v>5957</v>
      </c>
      <c r="E4" s="179" t="s">
        <v>5984</v>
      </c>
      <c r="F4" s="207" t="s">
        <v>5985</v>
      </c>
      <c r="G4" s="207" t="s">
        <v>5986</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5987</v>
      </c>
      <c r="B5" s="313">
        <v>17936330</v>
      </c>
      <c r="C5" s="207">
        <f t="shared" si="0"/>
        <v>4161561525</v>
      </c>
      <c r="D5" s="207" t="s">
        <v>5957</v>
      </c>
      <c r="E5" s="207" t="s">
        <v>5988</v>
      </c>
      <c r="F5" s="207" t="s">
        <v>5989</v>
      </c>
      <c r="G5" s="207" t="s">
        <v>5990</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5967</v>
      </c>
      <c r="B6" s="313">
        <v>15219631</v>
      </c>
      <c r="C6" s="207">
        <f t="shared" si="0"/>
        <v>1037466348</v>
      </c>
      <c r="D6" s="207" t="s">
        <v>5969</v>
      </c>
      <c r="E6" s="207" t="s">
        <v>5970</v>
      </c>
      <c r="F6" s="179" t="s">
        <v>5971</v>
      </c>
      <c r="G6" s="207" t="s">
        <v>5972</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6017</v>
      </c>
      <c r="B7" s="313">
        <v>12077909</v>
      </c>
      <c r="C7" s="207">
        <f t="shared" si="0"/>
        <v>499499998</v>
      </c>
      <c r="D7" s="207" t="s">
        <v>5957</v>
      </c>
      <c r="E7" s="207" t="s">
        <v>6018</v>
      </c>
      <c r="F7" s="207" t="s">
        <v>6019</v>
      </c>
      <c r="G7" s="207" t="s">
        <v>6020</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6050</v>
      </c>
      <c r="B8" s="313">
        <v>11039958</v>
      </c>
      <c r="C8" s="207">
        <f t="shared" si="0"/>
        <v>2802020000</v>
      </c>
      <c r="D8" s="207" t="s">
        <v>5957</v>
      </c>
      <c r="E8" s="207" t="s">
        <v>6051</v>
      </c>
      <c r="F8" s="207" t="s">
        <v>6052</v>
      </c>
      <c r="G8" s="207" t="s">
        <v>6053</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6007</v>
      </c>
      <c r="B9" s="313">
        <v>6743250</v>
      </c>
      <c r="C9" s="207">
        <f t="shared" si="0"/>
        <v>337500000</v>
      </c>
      <c r="D9" s="207" t="s">
        <v>5957</v>
      </c>
      <c r="E9" s="207" t="s">
        <v>6009</v>
      </c>
      <c r="F9" s="207" t="s">
        <v>6010</v>
      </c>
      <c r="G9" s="207" t="s">
        <v>6011</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6041</v>
      </c>
      <c r="B10" s="313">
        <v>6591899</v>
      </c>
      <c r="C10" s="207">
        <f t="shared" si="0"/>
        <v>978026662</v>
      </c>
      <c r="D10" s="207" t="s">
        <v>5957</v>
      </c>
      <c r="E10" s="207" t="s">
        <v>6042</v>
      </c>
      <c r="F10" s="207" t="s">
        <v>6043</v>
      </c>
      <c r="G10" s="207" t="s">
        <v>6044</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5950</v>
      </c>
      <c r="B11" s="313">
        <v>6515494</v>
      </c>
      <c r="C11" s="207">
        <f t="shared" si="0"/>
        <v>137024073</v>
      </c>
      <c r="D11" s="207" t="s">
        <v>5952</v>
      </c>
      <c r="E11" s="207" t="s">
        <v>5953</v>
      </c>
      <c r="F11" s="207" t="s">
        <v>5954</v>
      </c>
      <c r="G11" s="207" t="s">
        <v>5955</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5961</v>
      </c>
      <c r="B12" s="313">
        <v>5962560</v>
      </c>
      <c r="C12" s="207">
        <f t="shared" si="0"/>
        <v>1242200000</v>
      </c>
      <c r="D12" s="207" t="s">
        <v>5963</v>
      </c>
      <c r="E12" s="207" t="s">
        <v>5964</v>
      </c>
      <c r="F12" s="207" t="s">
        <v>5965</v>
      </c>
      <c r="G12" s="207" t="s">
        <v>5966</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6086</v>
      </c>
      <c r="B13" s="313">
        <v>4690527</v>
      </c>
      <c r="C13" s="207">
        <f t="shared" si="0"/>
        <v>623740333</v>
      </c>
      <c r="D13" s="207" t="s">
        <v>5957</v>
      </c>
      <c r="E13" s="207" t="s">
        <v>6087</v>
      </c>
      <c r="F13" s="207" t="s">
        <v>6088</v>
      </c>
      <c r="G13" s="207" t="s">
        <v>6089</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6082</v>
      </c>
      <c r="B14" s="313">
        <v>4423541</v>
      </c>
      <c r="C14" s="207">
        <f t="shared" si="0"/>
        <v>118276522</v>
      </c>
      <c r="D14" s="207" t="s">
        <v>5957</v>
      </c>
      <c r="E14" s="207" t="s">
        <v>6083</v>
      </c>
      <c r="F14" s="207" t="s">
        <v>6084</v>
      </c>
      <c r="G14" s="207" t="s">
        <v>6085</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6279</v>
      </c>
      <c r="B15" s="313">
        <v>4228226</v>
      </c>
      <c r="C15" s="207">
        <f t="shared" si="0"/>
        <v>106322321</v>
      </c>
      <c r="D15" s="207" t="s">
        <v>5957</v>
      </c>
      <c r="E15" s="207" t="s">
        <v>6280</v>
      </c>
      <c r="F15" s="207" t="s">
        <v>5957</v>
      </c>
      <c r="G15" s="207" t="s">
        <v>6281</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6095</v>
      </c>
      <c r="B16" s="313">
        <v>3555770</v>
      </c>
      <c r="C16" s="207">
        <f t="shared" si="0"/>
        <v>183381668</v>
      </c>
      <c r="D16" s="207" t="s">
        <v>5957</v>
      </c>
      <c r="E16" s="207" t="s">
        <v>6096</v>
      </c>
      <c r="F16" s="207" t="s">
        <v>6097</v>
      </c>
      <c r="G16" s="207" t="s">
        <v>6098</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6068</v>
      </c>
      <c r="B17" s="313">
        <v>3392316</v>
      </c>
      <c r="C17" s="207">
        <f t="shared" si="0"/>
        <v>1015663732</v>
      </c>
      <c r="D17" s="207" t="s">
        <v>5957</v>
      </c>
      <c r="E17" s="207" t="s">
        <v>6069</v>
      </c>
      <c r="F17" s="207" t="s">
        <v>6070</v>
      </c>
      <c r="G17" s="207" t="s">
        <v>6071</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5991</v>
      </c>
      <c r="B18" s="313">
        <v>3321096</v>
      </c>
      <c r="C18" s="207">
        <f t="shared" si="0"/>
        <v>254880755</v>
      </c>
      <c r="D18" s="207" t="s">
        <v>5957</v>
      </c>
      <c r="E18" s="207" t="s">
        <v>5992</v>
      </c>
      <c r="F18" s="207" t="s">
        <v>5993</v>
      </c>
      <c r="G18" s="207" t="s">
        <v>5994</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6037</v>
      </c>
      <c r="B19" s="313">
        <v>2708729</v>
      </c>
      <c r="C19" s="207">
        <f t="shared" si="0"/>
        <v>158220192</v>
      </c>
      <c r="D19" s="207" t="s">
        <v>5957</v>
      </c>
      <c r="E19" s="207" t="s">
        <v>6038</v>
      </c>
      <c r="F19" s="207" t="s">
        <v>6039</v>
      </c>
      <c r="G19" s="207" t="s">
        <v>6040</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5979</v>
      </c>
      <c r="B20" s="313">
        <v>2623529</v>
      </c>
      <c r="C20" s="207">
        <f t="shared" si="0"/>
        <v>101805550</v>
      </c>
      <c r="D20" s="207" t="s">
        <v>5957</v>
      </c>
      <c r="E20" s="207" t="s">
        <v>5980</v>
      </c>
      <c r="F20" s="207" t="s">
        <v>5981</v>
      </c>
      <c r="G20" s="207" t="s">
        <v>5982</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5973</v>
      </c>
      <c r="B21" s="313">
        <v>2224069</v>
      </c>
      <c r="C21" s="207">
        <f t="shared" si="0"/>
        <v>30270982</v>
      </c>
      <c r="D21" s="207" t="s">
        <v>5975</v>
      </c>
      <c r="E21" s="207" t="s">
        <v>5976</v>
      </c>
      <c r="F21" s="207" t="s">
        <v>5977</v>
      </c>
      <c r="G21" s="207" t="s">
        <v>5978</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6099</v>
      </c>
      <c r="B22" s="314" t="s">
        <v>6100</v>
      </c>
      <c r="C22" s="207">
        <f t="shared" si="0"/>
        <v>114588426</v>
      </c>
      <c r="D22" s="207" t="s">
        <v>5957</v>
      </c>
      <c r="E22" s="207" t="s">
        <v>6101</v>
      </c>
      <c r="F22" s="207" t="s">
        <v>6102</v>
      </c>
      <c r="G22" s="207" t="s">
        <v>6103</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6054</v>
      </c>
      <c r="B23" s="314" t="s">
        <v>6055</v>
      </c>
      <c r="C23" s="207">
        <f t="shared" si="0"/>
        <v>735760160</v>
      </c>
      <c r="D23" s="207" t="s">
        <v>6057</v>
      </c>
      <c r="E23" s="207" t="s">
        <v>6058</v>
      </c>
      <c r="F23" s="207" t="s">
        <v>6059</v>
      </c>
      <c r="G23" s="207" t="s">
        <v>6060</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6216</v>
      </c>
      <c r="B24" s="314" t="s">
        <v>6217</v>
      </c>
      <c r="C24" s="207">
        <f t="shared" si="0"/>
        <v>4044500</v>
      </c>
      <c r="D24" s="207" t="s">
        <v>5957</v>
      </c>
      <c r="E24" s="207" t="s">
        <v>6218</v>
      </c>
      <c r="F24" s="207" t="s">
        <v>6202</v>
      </c>
      <c r="G24" s="207" t="s">
        <v>6219</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6128</v>
      </c>
      <c r="B25" s="314" t="s">
        <v>6129</v>
      </c>
      <c r="C25" s="207">
        <f t="shared" si="0"/>
        <v>53400000</v>
      </c>
      <c r="D25" s="207" t="s">
        <v>5957</v>
      </c>
      <c r="E25" s="207" t="s">
        <v>6130</v>
      </c>
      <c r="F25" s="207" t="s">
        <v>6131</v>
      </c>
      <c r="G25" s="207" t="s">
        <v>6132</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6002</v>
      </c>
      <c r="B26" s="314" t="s">
        <v>6003</v>
      </c>
      <c r="C26" s="207">
        <f t="shared" si="0"/>
        <v>36391574</v>
      </c>
      <c r="D26" s="207" t="s">
        <v>5957</v>
      </c>
      <c r="E26" s="207" t="s">
        <v>6004</v>
      </c>
      <c r="F26" s="207" t="s">
        <v>6005</v>
      </c>
      <c r="G26" s="207" t="s">
        <v>6006</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6045</v>
      </c>
      <c r="B27" s="314" t="s">
        <v>6046</v>
      </c>
      <c r="C27" s="207">
        <f t="shared" si="0"/>
        <v>29296590</v>
      </c>
      <c r="D27" s="207" t="s">
        <v>5957</v>
      </c>
      <c r="E27" s="207" t="s">
        <v>6047</v>
      </c>
      <c r="F27" s="207" t="s">
        <v>6048</v>
      </c>
      <c r="G27" s="207" t="s">
        <v>6049</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6144</v>
      </c>
      <c r="B28" s="314" t="s">
        <v>6145</v>
      </c>
      <c r="C28" s="207">
        <f t="shared" si="0"/>
        <v>32151333</v>
      </c>
      <c r="D28" s="207" t="s">
        <v>5957</v>
      </c>
      <c r="E28" s="207" t="s">
        <v>6146</v>
      </c>
      <c r="F28" s="207" t="s">
        <v>6147</v>
      </c>
      <c r="G28" s="207" t="s">
        <v>6148</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5995</v>
      </c>
      <c r="B29" s="314" t="s">
        <v>5996</v>
      </c>
      <c r="C29" s="207">
        <f t="shared" si="0"/>
        <v>23043086</v>
      </c>
      <c r="D29" s="207" t="s">
        <v>5998</v>
      </c>
      <c r="E29" s="207" t="s">
        <v>5999</v>
      </c>
      <c r="F29" s="207" t="s">
        <v>6000</v>
      </c>
      <c r="G29" s="207" t="s">
        <v>6001</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6108</v>
      </c>
      <c r="B30" s="314" t="s">
        <v>6109</v>
      </c>
      <c r="C30" s="207">
        <f t="shared" si="0"/>
        <v>126674402</v>
      </c>
      <c r="D30" s="207" t="s">
        <v>5957</v>
      </c>
      <c r="E30" s="207" t="s">
        <v>6110</v>
      </c>
      <c r="F30" s="207" t="s">
        <v>6111</v>
      </c>
      <c r="G30" s="207" t="s">
        <v>6112</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6077</v>
      </c>
      <c r="B31" s="314" t="s">
        <v>6078</v>
      </c>
      <c r="C31" s="207">
        <f t="shared" si="0"/>
        <v>182160000</v>
      </c>
      <c r="D31" s="207" t="s">
        <v>5957</v>
      </c>
      <c r="E31" s="207" t="s">
        <v>6079</v>
      </c>
      <c r="F31" s="207" t="s">
        <v>6080</v>
      </c>
      <c r="G31" s="207" t="s">
        <v>6081</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6123</v>
      </c>
      <c r="B32" s="314" t="s">
        <v>6124</v>
      </c>
      <c r="C32" s="207">
        <f t="shared" si="0"/>
        <v>67919940</v>
      </c>
      <c r="D32" s="207" t="s">
        <v>5957</v>
      </c>
      <c r="E32" s="207" t="s">
        <v>6125</v>
      </c>
      <c r="F32" s="207" t="s">
        <v>6126</v>
      </c>
      <c r="G32" s="207" t="s">
        <v>6127</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6149</v>
      </c>
      <c r="B33" s="314" t="s">
        <v>6150</v>
      </c>
      <c r="C33" s="207">
        <f t="shared" si="0"/>
        <v>29288000</v>
      </c>
      <c r="D33" s="207" t="s">
        <v>5957</v>
      </c>
      <c r="E33" s="207" t="s">
        <v>6151</v>
      </c>
      <c r="F33" s="207" t="s">
        <v>6152</v>
      </c>
      <c r="G33" s="207" t="s">
        <v>6153</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6159</v>
      </c>
      <c r="B34" s="314" t="s">
        <v>6160</v>
      </c>
      <c r="C34" s="207">
        <f t="shared" ref="C34:C65" si="4">D34+E34</f>
        <v>259990000</v>
      </c>
      <c r="D34" s="207" t="s">
        <v>5957</v>
      </c>
      <c r="E34" s="207" t="s">
        <v>6161</v>
      </c>
      <c r="F34" s="207" t="s">
        <v>6162</v>
      </c>
      <c r="G34" s="207" t="s">
        <v>6163</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6113</v>
      </c>
      <c r="B35" s="314" t="s">
        <v>6114</v>
      </c>
      <c r="C35" s="207">
        <f t="shared" si="4"/>
        <v>6208016</v>
      </c>
      <c r="D35" s="207" t="s">
        <v>5957</v>
      </c>
      <c r="E35" s="207" t="s">
        <v>6115</v>
      </c>
      <c r="F35" s="207" t="s">
        <v>6116</v>
      </c>
      <c r="G35" s="207" t="s">
        <v>6117</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6025</v>
      </c>
      <c r="B36" s="314" t="s">
        <v>6026</v>
      </c>
      <c r="C36" s="207">
        <f t="shared" si="4"/>
        <v>39242697</v>
      </c>
      <c r="D36" s="207" t="s">
        <v>6027</v>
      </c>
      <c r="E36" s="207" t="s">
        <v>6028</v>
      </c>
      <c r="F36" s="207" t="s">
        <v>6029</v>
      </c>
      <c r="G36" s="207" t="s">
        <v>6030</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6154</v>
      </c>
      <c r="B37" s="314" t="s">
        <v>6155</v>
      </c>
      <c r="C37" s="207">
        <f t="shared" si="4"/>
        <v>24338461</v>
      </c>
      <c r="D37" s="207" t="s">
        <v>5957</v>
      </c>
      <c r="E37" s="207" t="s">
        <v>6156</v>
      </c>
      <c r="F37" s="207" t="s">
        <v>6157</v>
      </c>
      <c r="G37" s="207" t="s">
        <v>6158</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6031</v>
      </c>
      <c r="B38" s="314" t="s">
        <v>6032</v>
      </c>
      <c r="C38" s="207">
        <f t="shared" si="4"/>
        <v>35697979</v>
      </c>
      <c r="D38" s="207" t="s">
        <v>5957</v>
      </c>
      <c r="E38" s="207" t="s">
        <v>6034</v>
      </c>
      <c r="F38" s="207" t="s">
        <v>6035</v>
      </c>
      <c r="G38" s="207" t="s">
        <v>6036</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6061</v>
      </c>
      <c r="B39" s="314" t="s">
        <v>6062</v>
      </c>
      <c r="C39" s="207">
        <f t="shared" si="4"/>
        <v>30949707</v>
      </c>
      <c r="D39" s="207" t="s">
        <v>6064</v>
      </c>
      <c r="E39" s="207" t="s">
        <v>6065</v>
      </c>
      <c r="F39" s="207" t="s">
        <v>6066</v>
      </c>
      <c r="G39" s="207" t="s">
        <v>6067</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6021</v>
      </c>
      <c r="B40" s="314" t="s">
        <v>6022</v>
      </c>
      <c r="C40" s="207">
        <f t="shared" si="4"/>
        <v>11270740</v>
      </c>
      <c r="D40" s="207" t="s">
        <v>5957</v>
      </c>
      <c r="E40" s="207" t="s">
        <v>6023</v>
      </c>
      <c r="F40" s="207" t="s">
        <v>6024</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6170</v>
      </c>
      <c r="B41" s="314" t="s">
        <v>6171</v>
      </c>
      <c r="C41" s="207">
        <f t="shared" si="4"/>
        <v>15600000</v>
      </c>
      <c r="D41" s="207" t="s">
        <v>5957</v>
      </c>
      <c r="E41" s="207" t="s">
        <v>6172</v>
      </c>
      <c r="F41" s="207" t="s">
        <v>6173</v>
      </c>
      <c r="G41" s="207" t="s">
        <v>6174</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6012</v>
      </c>
      <c r="B42" s="314" t="s">
        <v>6013</v>
      </c>
      <c r="C42" s="207">
        <f t="shared" si="4"/>
        <v>14702520</v>
      </c>
      <c r="D42" s="207" t="s">
        <v>5957</v>
      </c>
      <c r="E42" s="207" t="s">
        <v>6014</v>
      </c>
      <c r="F42" s="207" t="s">
        <v>6015</v>
      </c>
      <c r="G42" s="207" t="s">
        <v>6016</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6090</v>
      </c>
      <c r="B43" s="314" t="s">
        <v>6091</v>
      </c>
      <c r="C43" s="207">
        <f t="shared" si="4"/>
        <v>13930853</v>
      </c>
      <c r="D43" s="207" t="s">
        <v>5957</v>
      </c>
      <c r="E43" s="207" t="s">
        <v>6092</v>
      </c>
      <c r="F43" s="207" t="s">
        <v>6093</v>
      </c>
      <c r="G43" s="207" t="s">
        <v>6094</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6072</v>
      </c>
      <c r="B44" s="314" t="s">
        <v>6073</v>
      </c>
      <c r="C44" s="207">
        <f t="shared" si="4"/>
        <v>68500000</v>
      </c>
      <c r="D44" s="207" t="s">
        <v>5957</v>
      </c>
      <c r="E44" s="207" t="s">
        <v>6074</v>
      </c>
      <c r="F44" s="207" t="s">
        <v>6075</v>
      </c>
      <c r="G44" s="207" t="s">
        <v>6076</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6175</v>
      </c>
      <c r="B45" s="314" t="s">
        <v>6176</v>
      </c>
      <c r="C45" s="207">
        <f t="shared" si="4"/>
        <v>3000000</v>
      </c>
      <c r="D45" s="207" t="s">
        <v>5957</v>
      </c>
      <c r="E45" s="207" t="s">
        <v>6005</v>
      </c>
      <c r="F45" s="207" t="s">
        <v>6177</v>
      </c>
      <c r="G45" s="207" t="s">
        <v>6178</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6194</v>
      </c>
      <c r="B46" s="314" t="s">
        <v>6195</v>
      </c>
      <c r="C46" s="207">
        <f t="shared" si="4"/>
        <v>12400000</v>
      </c>
      <c r="D46" s="207" t="s">
        <v>5957</v>
      </c>
      <c r="E46" s="207" t="s">
        <v>6196</v>
      </c>
      <c r="F46" s="207" t="s">
        <v>6197</v>
      </c>
      <c r="G46" s="207" t="s">
        <v>6198</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6104</v>
      </c>
      <c r="B47" s="314" t="s">
        <v>6105</v>
      </c>
      <c r="C47" s="207">
        <f t="shared" si="4"/>
        <v>25000000</v>
      </c>
      <c r="D47" s="207" t="s">
        <v>5957</v>
      </c>
      <c r="E47" s="207" t="s">
        <v>6024</v>
      </c>
      <c r="F47" s="207" t="s">
        <v>6106</v>
      </c>
      <c r="G47" s="207" t="s">
        <v>6107</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6179</v>
      </c>
      <c r="B48" s="314" t="s">
        <v>6180</v>
      </c>
      <c r="C48" s="207">
        <f t="shared" si="4"/>
        <v>29000000</v>
      </c>
      <c r="D48" s="207" t="s">
        <v>5957</v>
      </c>
      <c r="E48" s="207" t="s">
        <v>6181</v>
      </c>
      <c r="F48" s="207" t="s">
        <v>6182</v>
      </c>
      <c r="G48" s="207" t="s">
        <v>6183</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6207</v>
      </c>
      <c r="B49" s="314" t="s">
        <v>6208</v>
      </c>
      <c r="C49" s="207">
        <f t="shared" si="4"/>
        <v>12691397</v>
      </c>
      <c r="D49" s="207" t="s">
        <v>5957</v>
      </c>
      <c r="E49" s="207" t="s">
        <v>6209</v>
      </c>
      <c r="F49" s="207" t="s">
        <v>6210</v>
      </c>
      <c r="G49" s="207" t="s">
        <v>6211</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6199</v>
      </c>
      <c r="B50" s="314" t="s">
        <v>6200</v>
      </c>
      <c r="C50" s="207">
        <f t="shared" si="4"/>
        <v>4639508</v>
      </c>
      <c r="D50" s="207" t="s">
        <v>5957</v>
      </c>
      <c r="E50" s="207" t="s">
        <v>6201</v>
      </c>
      <c r="F50" s="207" t="s">
        <v>6202</v>
      </c>
      <c r="G50" s="207" t="s">
        <v>6203</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6139</v>
      </c>
      <c r="B51" s="314" t="s">
        <v>6140</v>
      </c>
      <c r="C51" s="207">
        <f t="shared" si="4"/>
        <v>9242699</v>
      </c>
      <c r="D51" s="207" t="s">
        <v>5957</v>
      </c>
      <c r="E51" s="207" t="s">
        <v>6141</v>
      </c>
      <c r="F51" s="207" t="s">
        <v>6142</v>
      </c>
      <c r="G51" s="207" t="s">
        <v>6143</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6133</v>
      </c>
      <c r="B52" s="314" t="s">
        <v>6134</v>
      </c>
      <c r="C52" s="207">
        <f t="shared" si="4"/>
        <v>12000000</v>
      </c>
      <c r="D52" s="207" t="s">
        <v>5957</v>
      </c>
      <c r="E52" s="207" t="s">
        <v>6136</v>
      </c>
      <c r="F52" s="207" t="s">
        <v>6137</v>
      </c>
      <c r="G52" s="207" t="s">
        <v>6138</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6189</v>
      </c>
      <c r="B53" s="314" t="s">
        <v>6190</v>
      </c>
      <c r="C53" s="207">
        <f t="shared" si="4"/>
        <v>18333333</v>
      </c>
      <c r="D53" s="207" t="s">
        <v>5957</v>
      </c>
      <c r="E53" s="207" t="s">
        <v>6191</v>
      </c>
      <c r="F53" s="207" t="s">
        <v>6192</v>
      </c>
      <c r="G53" s="207" t="s">
        <v>6193</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6164</v>
      </c>
      <c r="B54" s="314" t="s">
        <v>6165</v>
      </c>
      <c r="C54" s="207">
        <f t="shared" si="4"/>
        <v>10686057</v>
      </c>
      <c r="D54" s="207" t="s">
        <v>6166</v>
      </c>
      <c r="E54" s="207" t="s">
        <v>6167</v>
      </c>
      <c r="F54" s="207" t="s">
        <v>6168</v>
      </c>
      <c r="G54" s="207" t="s">
        <v>6169</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6118</v>
      </c>
      <c r="B55" s="314" t="s">
        <v>6119</v>
      </c>
      <c r="C55" s="207">
        <f t="shared" si="4"/>
        <v>6210524</v>
      </c>
      <c r="D55" s="207" t="s">
        <v>5957</v>
      </c>
      <c r="E55" s="207" t="s">
        <v>6120</v>
      </c>
      <c r="F55" s="207" t="s">
        <v>6121</v>
      </c>
      <c r="G55" s="207" t="s">
        <v>6122</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6243</v>
      </c>
      <c r="B56" s="314" t="s">
        <v>6244</v>
      </c>
      <c r="C56" s="207">
        <f t="shared" si="4"/>
        <v>2660000</v>
      </c>
      <c r="D56" s="207" t="s">
        <v>5957</v>
      </c>
      <c r="E56" s="207" t="s">
        <v>6245</v>
      </c>
      <c r="F56" s="207" t="s">
        <v>6246</v>
      </c>
      <c r="G56" s="207" t="s">
        <v>6247</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6220</v>
      </c>
      <c r="B57" s="314" t="s">
        <v>6221</v>
      </c>
      <c r="C57" s="207">
        <f t="shared" si="4"/>
        <v>4333333</v>
      </c>
      <c r="D57" s="207" t="s">
        <v>5957</v>
      </c>
      <c r="E57" s="207" t="s">
        <v>6222</v>
      </c>
      <c r="F57" s="207" t="s">
        <v>6223</v>
      </c>
      <c r="G57" s="207" t="s">
        <v>6224</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6225</v>
      </c>
      <c r="B58" s="314" t="s">
        <v>6226</v>
      </c>
      <c r="C58" s="207">
        <f t="shared" si="4"/>
        <v>469533</v>
      </c>
      <c r="D58" s="207" t="s">
        <v>5957</v>
      </c>
      <c r="E58" s="207" t="s">
        <v>6227</v>
      </c>
      <c r="F58" s="207" t="s">
        <v>6228</v>
      </c>
      <c r="G58" s="207" t="s">
        <v>6229</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6272</v>
      </c>
      <c r="B59" s="314" t="s">
        <v>6271</v>
      </c>
      <c r="C59" s="207">
        <f t="shared" si="4"/>
        <v>5076558</v>
      </c>
      <c r="D59" s="207" t="s">
        <v>6273</v>
      </c>
      <c r="E59" s="207" t="s">
        <v>5957</v>
      </c>
      <c r="F59" s="207" t="s">
        <v>6210</v>
      </c>
      <c r="G59" s="207" t="s">
        <v>6274</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5950</v>
      </c>
      <c r="B60" s="314" t="s">
        <v>6212</v>
      </c>
      <c r="C60" s="207">
        <f t="shared" si="4"/>
        <v>1144000</v>
      </c>
      <c r="D60" s="207" t="s">
        <v>5957</v>
      </c>
      <c r="E60" s="207" t="s">
        <v>6213</v>
      </c>
      <c r="F60" s="207" t="s">
        <v>6214</v>
      </c>
      <c r="G60" s="207" t="s">
        <v>6215</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6184</v>
      </c>
      <c r="B61" s="314" t="s">
        <v>6185</v>
      </c>
      <c r="C61" s="207">
        <f t="shared" si="4"/>
        <v>2000000</v>
      </c>
      <c r="D61" s="207" t="s">
        <v>5957</v>
      </c>
      <c r="E61" s="207" t="s">
        <v>6186</v>
      </c>
      <c r="F61" s="207" t="s">
        <v>6187</v>
      </c>
      <c r="G61" s="207" t="s">
        <v>6188</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6234</v>
      </c>
      <c r="B62" s="314" t="s">
        <v>6235</v>
      </c>
      <c r="C62" s="207">
        <f t="shared" si="4"/>
        <v>1469425</v>
      </c>
      <c r="D62" s="207" t="s">
        <v>5957</v>
      </c>
      <c r="E62" s="207" t="s">
        <v>6236</v>
      </c>
      <c r="F62" s="207" t="s">
        <v>6237</v>
      </c>
      <c r="G62" s="207" t="s">
        <v>6238</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6230</v>
      </c>
      <c r="B63" s="314" t="s">
        <v>6231</v>
      </c>
      <c r="C63" s="207">
        <f t="shared" si="4"/>
        <v>1888175</v>
      </c>
      <c r="D63" s="207" t="s">
        <v>5957</v>
      </c>
      <c r="E63" s="207" t="s">
        <v>6232</v>
      </c>
      <c r="F63" s="207" t="s">
        <v>6024</v>
      </c>
      <c r="G63" s="207" t="s">
        <v>6233</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5947</v>
      </c>
      <c r="B64" s="314" t="s">
        <v>6204</v>
      </c>
      <c r="C64" s="207">
        <f t="shared" si="4"/>
        <v>15200000</v>
      </c>
      <c r="D64" s="207" t="s">
        <v>5957</v>
      </c>
      <c r="E64" s="207" t="s">
        <v>6205</v>
      </c>
      <c r="F64" s="207" t="s">
        <v>6043</v>
      </c>
      <c r="G64" s="207" t="s">
        <v>6206</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6248</v>
      </c>
      <c r="B65" s="314" t="s">
        <v>6249</v>
      </c>
      <c r="C65" s="207">
        <f t="shared" si="4"/>
        <v>364567</v>
      </c>
      <c r="D65" s="207" t="s">
        <v>5957</v>
      </c>
      <c r="E65" s="207" t="s">
        <v>6250</v>
      </c>
      <c r="F65" s="207" t="s">
        <v>6147</v>
      </c>
      <c r="G65" s="207" t="s">
        <v>6251</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6239</v>
      </c>
      <c r="B66" s="314" t="s">
        <v>6240</v>
      </c>
      <c r="C66" s="207">
        <f t="shared" ref="C66:C70" si="5">D66+E66</f>
        <v>474991</v>
      </c>
      <c r="D66" s="207" t="s">
        <v>5957</v>
      </c>
      <c r="E66" s="207" t="s">
        <v>6241</v>
      </c>
      <c r="F66" s="207" t="s">
        <v>6088</v>
      </c>
      <c r="G66" s="207" t="s">
        <v>6242</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6258</v>
      </c>
      <c r="B67" s="314" t="s">
        <v>6259</v>
      </c>
      <c r="C67" s="207">
        <f t="shared" si="5"/>
        <v>35981</v>
      </c>
      <c r="D67" s="207" t="s">
        <v>5957</v>
      </c>
      <c r="E67" s="207" t="s">
        <v>6260</v>
      </c>
      <c r="F67" s="207" t="s">
        <v>6261</v>
      </c>
      <c r="G67" s="207" t="s">
        <v>6262</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6252</v>
      </c>
      <c r="B68" s="314" t="s">
        <v>6253</v>
      </c>
      <c r="C68" s="207">
        <f t="shared" si="5"/>
        <v>3000</v>
      </c>
      <c r="D68" s="207" t="s">
        <v>6255</v>
      </c>
      <c r="E68" s="207" t="s">
        <v>6256</v>
      </c>
      <c r="F68" s="207" t="s">
        <v>6043</v>
      </c>
      <c r="G68" s="207" t="s">
        <v>6257</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6263</v>
      </c>
      <c r="B69" s="314" t="s">
        <v>6264</v>
      </c>
      <c r="C69" s="207">
        <f t="shared" si="5"/>
        <v>2666</v>
      </c>
      <c r="D69" s="207" t="s">
        <v>5957</v>
      </c>
      <c r="E69" s="207" t="s">
        <v>6266</v>
      </c>
      <c r="F69" s="207" t="s">
        <v>6088</v>
      </c>
      <c r="G69" s="207" t="s">
        <v>6267</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6268</v>
      </c>
      <c r="B70" s="314" t="s">
        <v>5957</v>
      </c>
      <c r="C70" s="207">
        <f t="shared" si="5"/>
        <v>0</v>
      </c>
      <c r="D70" s="207" t="s">
        <v>6269</v>
      </c>
      <c r="E70" s="207" t="s">
        <v>6057</v>
      </c>
      <c r="F70" s="207" t="s">
        <v>6059</v>
      </c>
      <c r="G70" s="207" t="s">
        <v>6270</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6275</v>
      </c>
      <c r="B71" s="314" t="s">
        <v>5957</v>
      </c>
      <c r="C71" s="207"/>
      <c r="D71" s="207" t="s">
        <v>5957</v>
      </c>
      <c r="E71" s="207" t="s">
        <v>6276</v>
      </c>
      <c r="F71" s="207" t="s">
        <v>6277</v>
      </c>
      <c r="G71" s="207" t="s">
        <v>6278</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14">
        <f>SUM(B2:B70)</f>
        <v>232176627</v>
      </c>
      <c r="C72" s="313">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5942</v>
      </c>
      <c r="I82" s="207" t="s">
        <v>191</v>
      </c>
      <c r="J82" s="207" t="s">
        <v>6459</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6282</v>
      </c>
      <c r="C1" s="207"/>
      <c r="D1" s="207"/>
      <c r="E1" s="207"/>
      <c r="F1" s="207"/>
      <c r="G1" s="207"/>
      <c r="H1" s="207"/>
      <c r="I1" s="207"/>
      <c r="J1" s="207"/>
      <c r="K1" s="207"/>
      <c r="L1" s="207"/>
      <c r="M1" s="207"/>
      <c r="N1" s="207"/>
      <c r="O1" s="207"/>
      <c r="P1" s="207"/>
      <c r="Q1" s="207"/>
      <c r="R1" s="207"/>
      <c r="S1" s="207"/>
      <c r="T1" s="207"/>
      <c r="U1" s="207" t="s">
        <v>6283</v>
      </c>
      <c r="V1" s="207"/>
      <c r="W1" s="207"/>
      <c r="X1" s="207"/>
      <c r="Y1" s="207" t="s">
        <v>5939</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5940</v>
      </c>
      <c r="D2" s="207"/>
      <c r="E2" s="207"/>
      <c r="F2" s="207" t="s">
        <v>5938</v>
      </c>
      <c r="G2" s="207"/>
      <c r="H2" s="207"/>
      <c r="I2" s="207" t="s">
        <v>5940</v>
      </c>
      <c r="J2" s="207"/>
      <c r="K2" s="207"/>
      <c r="L2" s="207" t="s">
        <v>4835</v>
      </c>
      <c r="M2" s="207"/>
      <c r="N2" s="207"/>
      <c r="O2" s="207"/>
      <c r="P2" s="207"/>
      <c r="Q2" s="207" t="s">
        <v>5940</v>
      </c>
      <c r="R2" s="207"/>
      <c r="S2" s="207"/>
      <c r="T2" s="207" t="s">
        <v>4835</v>
      </c>
      <c r="U2" s="207"/>
      <c r="V2" s="207"/>
      <c r="W2" s="207"/>
      <c r="X2" s="207"/>
      <c r="Y2" s="207"/>
      <c r="Z2" s="207"/>
      <c r="AA2" s="207"/>
      <c r="AB2" s="207" t="s">
        <v>5941</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6284</v>
      </c>
      <c r="B4" s="207"/>
      <c r="C4" s="207" t="s">
        <v>6285</v>
      </c>
      <c r="D4" s="207"/>
      <c r="E4" s="207"/>
      <c r="F4" s="207" t="s">
        <v>6286</v>
      </c>
      <c r="G4" s="207"/>
      <c r="H4" s="207"/>
      <c r="I4" s="207" t="s">
        <v>6287</v>
      </c>
      <c r="J4" s="207"/>
      <c r="K4" s="207"/>
      <c r="L4" s="207"/>
      <c r="M4" s="207"/>
      <c r="N4" s="207" t="s">
        <v>6288</v>
      </c>
      <c r="O4" s="207"/>
      <c r="P4" s="207"/>
      <c r="Q4" s="207" t="s">
        <v>6289</v>
      </c>
      <c r="R4" s="207"/>
      <c r="S4" s="207"/>
      <c r="T4" s="207"/>
      <c r="U4" s="207" t="s">
        <v>6290</v>
      </c>
      <c r="V4" s="207"/>
      <c r="W4" s="207"/>
      <c r="X4" s="207"/>
      <c r="Y4" s="207" t="s">
        <v>5947</v>
      </c>
      <c r="Z4" s="207"/>
      <c r="AA4" s="207" t="s">
        <v>6291</v>
      </c>
      <c r="AB4" s="207"/>
      <c r="AC4" s="207"/>
      <c r="AD4" s="207" t="s">
        <v>6292</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6293</v>
      </c>
      <c r="B6" s="207"/>
      <c r="C6" s="207" t="s">
        <v>6294</v>
      </c>
      <c r="D6" s="207"/>
      <c r="E6" s="207"/>
      <c r="F6" s="207" t="s">
        <v>6295</v>
      </c>
      <c r="G6" s="207"/>
      <c r="H6" s="207"/>
      <c r="I6" s="207" t="s">
        <v>5957</v>
      </c>
      <c r="J6" s="207"/>
      <c r="K6" s="207"/>
      <c r="L6" s="207"/>
      <c r="M6" s="207"/>
      <c r="N6" s="207" t="s">
        <v>5957</v>
      </c>
      <c r="O6" s="207"/>
      <c r="P6" s="207"/>
      <c r="Q6" s="207" t="s">
        <v>6294</v>
      </c>
      <c r="R6" s="207"/>
      <c r="S6" s="207"/>
      <c r="T6" s="207"/>
      <c r="U6" s="207" t="s">
        <v>6296</v>
      </c>
      <c r="V6" s="207"/>
      <c r="W6" s="207"/>
      <c r="X6" s="207"/>
      <c r="Y6" s="207" t="s">
        <v>5947</v>
      </c>
      <c r="Z6" s="207"/>
      <c r="AA6" s="207" t="s">
        <v>6297</v>
      </c>
      <c r="AB6" s="207"/>
      <c r="AC6" s="207"/>
      <c r="AD6" s="207" t="s">
        <v>6298</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6299</v>
      </c>
      <c r="B7" s="207"/>
      <c r="C7" s="207" t="s">
        <v>6300</v>
      </c>
      <c r="D7" s="207"/>
      <c r="E7" s="207"/>
      <c r="F7" s="207" t="s">
        <v>6301</v>
      </c>
      <c r="G7" s="207"/>
      <c r="H7" s="207"/>
      <c r="I7" s="207" t="s">
        <v>5957</v>
      </c>
      <c r="J7" s="207"/>
      <c r="K7" s="207"/>
      <c r="L7" s="207"/>
      <c r="M7" s="207"/>
      <c r="N7" s="207" t="s">
        <v>5957</v>
      </c>
      <c r="O7" s="207"/>
      <c r="P7" s="207"/>
      <c r="Q7" s="207" t="s">
        <v>6300</v>
      </c>
      <c r="R7" s="207"/>
      <c r="S7" s="207"/>
      <c r="T7" s="207"/>
      <c r="U7" s="207" t="s">
        <v>6302</v>
      </c>
      <c r="V7" s="207"/>
      <c r="W7" s="207"/>
      <c r="X7" s="207"/>
      <c r="Y7" s="207" t="s">
        <v>5947</v>
      </c>
      <c r="Z7" s="207"/>
      <c r="AA7" s="207" t="s">
        <v>6303</v>
      </c>
      <c r="AB7" s="207"/>
      <c r="AC7" s="207"/>
      <c r="AD7" s="207" t="s">
        <v>6304</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6305</v>
      </c>
      <c r="B8" s="207"/>
      <c r="C8" s="207" t="s">
        <v>6306</v>
      </c>
      <c r="D8" s="207"/>
      <c r="E8" s="207"/>
      <c r="F8" s="207" t="s">
        <v>6307</v>
      </c>
      <c r="G8" s="207"/>
      <c r="H8" s="207"/>
      <c r="I8" s="207" t="s">
        <v>5957</v>
      </c>
      <c r="J8" s="207"/>
      <c r="K8" s="207"/>
      <c r="L8" s="207"/>
      <c r="M8" s="207"/>
      <c r="N8" s="207" t="s">
        <v>5957</v>
      </c>
      <c r="O8" s="207"/>
      <c r="P8" s="207"/>
      <c r="Q8" s="207" t="s">
        <v>6306</v>
      </c>
      <c r="R8" s="207"/>
      <c r="S8" s="207"/>
      <c r="T8" s="207"/>
      <c r="U8" s="207" t="s">
        <v>6308</v>
      </c>
      <c r="V8" s="207"/>
      <c r="W8" s="207"/>
      <c r="X8" s="207"/>
      <c r="Y8" s="207" t="s">
        <v>6309</v>
      </c>
      <c r="Z8" s="207"/>
      <c r="AA8" s="207" t="s">
        <v>6005</v>
      </c>
      <c r="AB8" s="207"/>
      <c r="AC8" s="207"/>
      <c r="AD8" s="207" t="s">
        <v>6310</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6311</v>
      </c>
      <c r="B9" s="207"/>
      <c r="C9" s="207" t="s">
        <v>6312</v>
      </c>
      <c r="D9" s="207"/>
      <c r="E9" s="207"/>
      <c r="F9" s="207" t="s">
        <v>6313</v>
      </c>
      <c r="G9" s="207"/>
      <c r="H9" s="207"/>
      <c r="I9" s="207" t="s">
        <v>5957</v>
      </c>
      <c r="J9" s="207"/>
      <c r="K9" s="207"/>
      <c r="L9" s="207"/>
      <c r="M9" s="207"/>
      <c r="N9" s="207" t="s">
        <v>5957</v>
      </c>
      <c r="O9" s="207"/>
      <c r="P9" s="207"/>
      <c r="Q9" s="207" t="s">
        <v>6312</v>
      </c>
      <c r="R9" s="207"/>
      <c r="S9" s="207"/>
      <c r="T9" s="207"/>
      <c r="U9" s="207" t="s">
        <v>6314</v>
      </c>
      <c r="V9" s="207"/>
      <c r="W9" s="207"/>
      <c r="X9" s="207"/>
      <c r="Y9" s="207" t="s">
        <v>6309</v>
      </c>
      <c r="Z9" s="207"/>
      <c r="AA9" s="207" t="s">
        <v>6277</v>
      </c>
      <c r="AB9" s="207"/>
      <c r="AC9" s="207"/>
      <c r="AD9" s="207" t="s">
        <v>6315</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6316</v>
      </c>
      <c r="B10" s="207"/>
      <c r="C10" s="207" t="s">
        <v>6317</v>
      </c>
      <c r="D10" s="207"/>
      <c r="E10" s="207"/>
      <c r="F10" s="207" t="s">
        <v>6318</v>
      </c>
      <c r="G10" s="207"/>
      <c r="H10" s="207"/>
      <c r="I10" s="207" t="s">
        <v>5957</v>
      </c>
      <c r="J10" s="207"/>
      <c r="K10" s="207"/>
      <c r="L10" s="207"/>
      <c r="M10" s="207"/>
      <c r="N10" s="207" t="s">
        <v>5957</v>
      </c>
      <c r="O10" s="207"/>
      <c r="P10" s="207"/>
      <c r="Q10" s="207" t="s">
        <v>6317</v>
      </c>
      <c r="R10" s="207"/>
      <c r="S10" s="207"/>
      <c r="T10" s="207"/>
      <c r="U10" s="207" t="s">
        <v>6319</v>
      </c>
      <c r="V10" s="207"/>
      <c r="W10" s="207"/>
      <c r="X10" s="207"/>
      <c r="Y10" s="207" t="s">
        <v>6309</v>
      </c>
      <c r="Z10" s="207"/>
      <c r="AA10" s="207" t="s">
        <v>6320</v>
      </c>
      <c r="AB10" s="207"/>
      <c r="AC10" s="207"/>
      <c r="AD10" s="207" t="s">
        <v>6321</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6322</v>
      </c>
      <c r="B11" s="207"/>
      <c r="C11" s="207" t="s">
        <v>6323</v>
      </c>
      <c r="D11" s="207"/>
      <c r="E11" s="207"/>
      <c r="F11" s="207" t="s">
        <v>6324</v>
      </c>
      <c r="G11" s="207"/>
      <c r="H11" s="207"/>
      <c r="I11" s="207" t="s">
        <v>5957</v>
      </c>
      <c r="J11" s="207"/>
      <c r="K11" s="207"/>
      <c r="L11" s="207"/>
      <c r="M11" s="207"/>
      <c r="N11" s="207" t="s">
        <v>5957</v>
      </c>
      <c r="O11" s="207"/>
      <c r="P11" s="207"/>
      <c r="Q11" s="207" t="s">
        <v>6323</v>
      </c>
      <c r="R11" s="207"/>
      <c r="S11" s="207"/>
      <c r="T11" s="207"/>
      <c r="U11" s="207" t="s">
        <v>6325</v>
      </c>
      <c r="V11" s="207"/>
      <c r="W11" s="207"/>
      <c r="X11" s="207"/>
      <c r="Y11" s="207" t="s">
        <v>6309</v>
      </c>
      <c r="Z11" s="207"/>
      <c r="AA11" s="207" t="s">
        <v>6223</v>
      </c>
      <c r="AB11" s="207"/>
      <c r="AC11" s="207"/>
      <c r="AD11" s="207" t="s">
        <v>6326</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6327</v>
      </c>
      <c r="B12" s="207"/>
      <c r="C12" s="207" t="s">
        <v>6328</v>
      </c>
      <c r="D12" s="207"/>
      <c r="E12" s="207"/>
      <c r="F12" s="207" t="s">
        <v>6329</v>
      </c>
      <c r="G12" s="207"/>
      <c r="H12" s="207"/>
      <c r="I12" s="207" t="s">
        <v>5957</v>
      </c>
      <c r="J12" s="207"/>
      <c r="K12" s="207"/>
      <c r="L12" s="207"/>
      <c r="M12" s="207"/>
      <c r="N12" s="207" t="s">
        <v>5957</v>
      </c>
      <c r="O12" s="207"/>
      <c r="P12" s="207"/>
      <c r="Q12" s="207" t="s">
        <v>6328</v>
      </c>
      <c r="R12" s="207"/>
      <c r="S12" s="207"/>
      <c r="T12" s="207"/>
      <c r="U12" s="207" t="s">
        <v>6330</v>
      </c>
      <c r="V12" s="207"/>
      <c r="W12" s="207"/>
      <c r="X12" s="207"/>
      <c r="Y12" s="207" t="s">
        <v>5947</v>
      </c>
      <c r="Z12" s="207"/>
      <c r="AA12" s="207" t="s">
        <v>6277</v>
      </c>
      <c r="AB12" s="207"/>
      <c r="AC12" s="207"/>
      <c r="AD12" s="207" t="s">
        <v>6331</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6332</v>
      </c>
      <c r="B13" s="207"/>
      <c r="C13" s="207" t="s">
        <v>6333</v>
      </c>
      <c r="D13" s="207"/>
      <c r="E13" s="207"/>
      <c r="F13" s="207" t="s">
        <v>6334</v>
      </c>
      <c r="G13" s="207"/>
      <c r="H13" s="207"/>
      <c r="I13" s="207" t="s">
        <v>5957</v>
      </c>
      <c r="J13" s="207"/>
      <c r="K13" s="207"/>
      <c r="L13" s="207"/>
      <c r="M13" s="207"/>
      <c r="N13" s="207" t="s">
        <v>5957</v>
      </c>
      <c r="O13" s="207"/>
      <c r="P13" s="207"/>
      <c r="Q13" s="207" t="s">
        <v>6333</v>
      </c>
      <c r="R13" s="207"/>
      <c r="S13" s="207"/>
      <c r="T13" s="207"/>
      <c r="U13" s="207" t="s">
        <v>6335</v>
      </c>
      <c r="V13" s="207"/>
      <c r="W13" s="207"/>
      <c r="X13" s="207"/>
      <c r="Y13" s="207" t="s">
        <v>5947</v>
      </c>
      <c r="Z13" s="207"/>
      <c r="AA13" s="207" t="s">
        <v>6336</v>
      </c>
      <c r="AB13" s="207"/>
      <c r="AC13" s="207"/>
      <c r="AD13" s="207" t="s">
        <v>6337</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5947</v>
      </c>
      <c r="B14" s="207"/>
      <c r="C14" s="207" t="s">
        <v>6338</v>
      </c>
      <c r="D14" s="207"/>
      <c r="E14" s="207"/>
      <c r="F14" s="207" t="s">
        <v>6329</v>
      </c>
      <c r="G14" s="207"/>
      <c r="H14" s="207"/>
      <c r="I14" s="207" t="s">
        <v>5957</v>
      </c>
      <c r="J14" s="207"/>
      <c r="K14" s="207"/>
      <c r="L14" s="207"/>
      <c r="M14" s="207"/>
      <c r="N14" s="207" t="s">
        <v>5957</v>
      </c>
      <c r="O14" s="207"/>
      <c r="P14" s="207"/>
      <c r="Q14" s="207" t="s">
        <v>6338</v>
      </c>
      <c r="R14" s="207"/>
      <c r="S14" s="207"/>
      <c r="T14" s="207"/>
      <c r="U14" s="207" t="s">
        <v>6339</v>
      </c>
      <c r="V14" s="207"/>
      <c r="W14" s="207"/>
      <c r="X14" s="207"/>
      <c r="Y14" s="207" t="s">
        <v>5947</v>
      </c>
      <c r="Z14" s="207"/>
      <c r="AA14" s="207" t="s">
        <v>6340</v>
      </c>
      <c r="AB14" s="207"/>
      <c r="AC14" s="207"/>
      <c r="AD14" s="207" t="s">
        <v>6341</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6342</v>
      </c>
      <c r="B15" s="207"/>
      <c r="C15" s="207" t="s">
        <v>6343</v>
      </c>
      <c r="D15" s="207"/>
      <c r="E15" s="207"/>
      <c r="F15" s="207" t="s">
        <v>6344</v>
      </c>
      <c r="G15" s="207"/>
      <c r="H15" s="207"/>
      <c r="I15" s="207" t="s">
        <v>5957</v>
      </c>
      <c r="J15" s="207"/>
      <c r="K15" s="207"/>
      <c r="L15" s="207"/>
      <c r="M15" s="207"/>
      <c r="N15" s="207" t="s">
        <v>5957</v>
      </c>
      <c r="O15" s="207"/>
      <c r="P15" s="207"/>
      <c r="Q15" s="207" t="s">
        <v>6343</v>
      </c>
      <c r="R15" s="207"/>
      <c r="S15" s="207"/>
      <c r="T15" s="207"/>
      <c r="U15" s="207" t="s">
        <v>6345</v>
      </c>
      <c r="V15" s="207"/>
      <c r="W15" s="207"/>
      <c r="X15" s="207"/>
      <c r="Y15" s="207" t="s">
        <v>6309</v>
      </c>
      <c r="Z15" s="207"/>
      <c r="AA15" s="207" t="s">
        <v>6223</v>
      </c>
      <c r="AB15" s="207"/>
      <c r="AC15" s="207"/>
      <c r="AD15" s="207" t="s">
        <v>6346</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6347</v>
      </c>
      <c r="B16" s="207"/>
      <c r="C16" s="207" t="s">
        <v>6348</v>
      </c>
      <c r="D16" s="207"/>
      <c r="E16" s="207"/>
      <c r="F16" s="207" t="s">
        <v>6349</v>
      </c>
      <c r="G16" s="207"/>
      <c r="H16" s="207"/>
      <c r="I16" s="207" t="s">
        <v>5957</v>
      </c>
      <c r="J16" s="207"/>
      <c r="K16" s="207"/>
      <c r="L16" s="207"/>
      <c r="M16" s="207"/>
      <c r="N16" s="207" t="s">
        <v>5957</v>
      </c>
      <c r="O16" s="207"/>
      <c r="P16" s="207"/>
      <c r="Q16" s="207" t="s">
        <v>6348</v>
      </c>
      <c r="R16" s="207"/>
      <c r="S16" s="207"/>
      <c r="T16" s="207"/>
      <c r="U16" s="207" t="s">
        <v>6348</v>
      </c>
      <c r="V16" s="207"/>
      <c r="W16" s="207"/>
      <c r="X16" s="207"/>
      <c r="Y16" s="207" t="s">
        <v>6347</v>
      </c>
      <c r="Z16" s="207"/>
      <c r="AA16" s="207" t="s">
        <v>6202</v>
      </c>
      <c r="AB16" s="207"/>
      <c r="AC16" s="207"/>
      <c r="AD16" s="207" t="s">
        <v>6350</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6347</v>
      </c>
      <c r="B17" s="207"/>
      <c r="C17" s="207" t="s">
        <v>6351</v>
      </c>
      <c r="D17" s="207"/>
      <c r="E17" s="207"/>
      <c r="F17" s="207" t="s">
        <v>6352</v>
      </c>
      <c r="G17" s="207"/>
      <c r="H17" s="207"/>
      <c r="I17" s="207" t="s">
        <v>5957</v>
      </c>
      <c r="J17" s="207"/>
      <c r="K17" s="207"/>
      <c r="L17" s="207"/>
      <c r="M17" s="207"/>
      <c r="N17" s="207" t="s">
        <v>5957</v>
      </c>
      <c r="O17" s="207"/>
      <c r="P17" s="207"/>
      <c r="Q17" s="207" t="s">
        <v>6351</v>
      </c>
      <c r="R17" s="207"/>
      <c r="S17" s="207"/>
      <c r="T17" s="207"/>
      <c r="U17" s="207" t="s">
        <v>6351</v>
      </c>
      <c r="V17" s="207"/>
      <c r="W17" s="207"/>
      <c r="X17" s="207"/>
      <c r="Y17" s="207" t="s">
        <v>6347</v>
      </c>
      <c r="Z17" s="207"/>
      <c r="AA17" s="207" t="s">
        <v>6353</v>
      </c>
      <c r="AB17" s="207"/>
      <c r="AC17" s="207"/>
      <c r="AD17" s="207" t="s">
        <v>6354</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6355</v>
      </c>
      <c r="B18" s="207"/>
      <c r="C18" s="207" t="s">
        <v>6356</v>
      </c>
      <c r="D18" s="207"/>
      <c r="E18" s="207"/>
      <c r="F18" s="207" t="s">
        <v>6135</v>
      </c>
      <c r="G18" s="207"/>
      <c r="H18" s="207"/>
      <c r="I18" s="207" t="s">
        <v>5957</v>
      </c>
      <c r="J18" s="207"/>
      <c r="K18" s="207"/>
      <c r="L18" s="207"/>
      <c r="M18" s="207"/>
      <c r="N18" s="207" t="s">
        <v>5957</v>
      </c>
      <c r="O18" s="207"/>
      <c r="P18" s="207"/>
      <c r="Q18" s="207" t="s">
        <v>6356</v>
      </c>
      <c r="R18" s="207"/>
      <c r="S18" s="207"/>
      <c r="T18" s="207"/>
      <c r="U18" s="207" t="s">
        <v>6357</v>
      </c>
      <c r="V18" s="207"/>
      <c r="W18" s="207"/>
      <c r="X18" s="207"/>
      <c r="Y18" s="207" t="s">
        <v>6309</v>
      </c>
      <c r="Z18" s="207"/>
      <c r="AA18" s="207" t="s">
        <v>6223</v>
      </c>
      <c r="AB18" s="207"/>
      <c r="AC18" s="207"/>
      <c r="AD18" s="207" t="s">
        <v>6358</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6359</v>
      </c>
      <c r="B19" s="207"/>
      <c r="C19" s="207" t="s">
        <v>6360</v>
      </c>
      <c r="D19" s="207"/>
      <c r="E19" s="207"/>
      <c r="F19" s="207" t="s">
        <v>6033</v>
      </c>
      <c r="G19" s="207"/>
      <c r="H19" s="207"/>
      <c r="I19" s="207" t="s">
        <v>5957</v>
      </c>
      <c r="J19" s="207"/>
      <c r="K19" s="207"/>
      <c r="L19" s="207"/>
      <c r="M19" s="207"/>
      <c r="N19" s="207" t="s">
        <v>5957</v>
      </c>
      <c r="O19" s="207"/>
      <c r="P19" s="207"/>
      <c r="Q19" s="207" t="s">
        <v>6360</v>
      </c>
      <c r="R19" s="207"/>
      <c r="S19" s="207"/>
      <c r="T19" s="207"/>
      <c r="U19" s="207" t="s">
        <v>6340</v>
      </c>
      <c r="V19" s="207"/>
      <c r="W19" s="207"/>
      <c r="X19" s="207"/>
      <c r="Y19" s="207" t="s">
        <v>5947</v>
      </c>
      <c r="Z19" s="207"/>
      <c r="AA19" s="207" t="s">
        <v>6361</v>
      </c>
      <c r="AB19" s="207"/>
      <c r="AC19" s="207"/>
      <c r="AD19" s="207" t="s">
        <v>6362</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6363</v>
      </c>
      <c r="B20" s="207"/>
      <c r="C20" s="207" t="s">
        <v>6364</v>
      </c>
      <c r="D20" s="207"/>
      <c r="E20" s="207"/>
      <c r="F20" s="207" t="s">
        <v>6008</v>
      </c>
      <c r="G20" s="207"/>
      <c r="H20" s="207"/>
      <c r="I20" s="207" t="s">
        <v>5957</v>
      </c>
      <c r="J20" s="207"/>
      <c r="K20" s="207"/>
      <c r="L20" s="207"/>
      <c r="M20" s="207"/>
      <c r="N20" s="207" t="s">
        <v>5957</v>
      </c>
      <c r="O20" s="207"/>
      <c r="P20" s="207"/>
      <c r="Q20" s="207" t="s">
        <v>6364</v>
      </c>
      <c r="R20" s="207"/>
      <c r="S20" s="207"/>
      <c r="T20" s="207"/>
      <c r="U20" s="207" t="s">
        <v>6365</v>
      </c>
      <c r="V20" s="207"/>
      <c r="W20" s="207"/>
      <c r="X20" s="207"/>
      <c r="Y20" s="207" t="s">
        <v>6347</v>
      </c>
      <c r="Z20" s="207"/>
      <c r="AA20" s="207" t="s">
        <v>6147</v>
      </c>
      <c r="AB20" s="207"/>
      <c r="AC20" s="207"/>
      <c r="AD20" s="207" t="s">
        <v>6366</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6309</v>
      </c>
      <c r="B21" s="207"/>
      <c r="C21" s="207" t="s">
        <v>5947</v>
      </c>
      <c r="D21" s="207"/>
      <c r="E21" s="207"/>
      <c r="F21" s="207" t="s">
        <v>6329</v>
      </c>
      <c r="G21" s="207"/>
      <c r="H21" s="207"/>
      <c r="I21" s="207" t="s">
        <v>5957</v>
      </c>
      <c r="J21" s="207"/>
      <c r="K21" s="207"/>
      <c r="L21" s="207"/>
      <c r="M21" s="207"/>
      <c r="N21" s="207" t="s">
        <v>5957</v>
      </c>
      <c r="O21" s="207"/>
      <c r="P21" s="207"/>
      <c r="Q21" s="207" t="s">
        <v>5947</v>
      </c>
      <c r="R21" s="207"/>
      <c r="S21" s="207"/>
      <c r="T21" s="207"/>
      <c r="U21" s="207" t="s">
        <v>6338</v>
      </c>
      <c r="V21" s="207"/>
      <c r="W21" s="207"/>
      <c r="X21" s="207"/>
      <c r="Y21" s="207" t="s">
        <v>6309</v>
      </c>
      <c r="Z21" s="207"/>
      <c r="AA21" s="207" t="s">
        <v>5947</v>
      </c>
      <c r="AB21" s="207"/>
      <c r="AC21" s="207"/>
      <c r="AD21" s="207" t="s">
        <v>6367</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6368</v>
      </c>
      <c r="B22" s="207"/>
      <c r="C22" s="207" t="s">
        <v>6369</v>
      </c>
      <c r="D22" s="207"/>
      <c r="E22" s="207"/>
      <c r="F22" s="207" t="s">
        <v>6254</v>
      </c>
      <c r="G22" s="207"/>
      <c r="H22" s="207"/>
      <c r="I22" s="207" t="s">
        <v>5957</v>
      </c>
      <c r="J22" s="207"/>
      <c r="K22" s="207"/>
      <c r="L22" s="207"/>
      <c r="M22" s="207"/>
      <c r="N22" s="207" t="s">
        <v>5957</v>
      </c>
      <c r="O22" s="207"/>
      <c r="P22" s="207"/>
      <c r="Q22" s="207" t="s">
        <v>6369</v>
      </c>
      <c r="R22" s="207"/>
      <c r="S22" s="207"/>
      <c r="T22" s="207"/>
      <c r="U22" s="207" t="s">
        <v>6370</v>
      </c>
      <c r="V22" s="207"/>
      <c r="W22" s="207"/>
      <c r="X22" s="207"/>
      <c r="Y22" s="207" t="s">
        <v>6309</v>
      </c>
      <c r="Z22" s="207"/>
      <c r="AA22" s="207" t="s">
        <v>6371</v>
      </c>
      <c r="AB22" s="207"/>
      <c r="AC22" s="207"/>
      <c r="AD22" s="207" t="s">
        <v>6372</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5947</v>
      </c>
      <c r="B23" s="207"/>
      <c r="C23" s="207" t="s">
        <v>6373</v>
      </c>
      <c r="D23" s="207"/>
      <c r="E23" s="207"/>
      <c r="F23" s="207" t="s">
        <v>6254</v>
      </c>
      <c r="G23" s="207"/>
      <c r="H23" s="207"/>
      <c r="I23" s="207" t="s">
        <v>5957</v>
      </c>
      <c r="J23" s="207"/>
      <c r="K23" s="207"/>
      <c r="L23" s="207"/>
      <c r="M23" s="207"/>
      <c r="N23" s="207" t="s">
        <v>5957</v>
      </c>
      <c r="O23" s="207"/>
      <c r="P23" s="207"/>
      <c r="Q23" s="207" t="s">
        <v>6373</v>
      </c>
      <c r="R23" s="207"/>
      <c r="S23" s="207"/>
      <c r="T23" s="207"/>
      <c r="U23" s="207" t="s">
        <v>6309</v>
      </c>
      <c r="V23" s="207"/>
      <c r="W23" s="207"/>
      <c r="X23" s="207"/>
      <c r="Y23" s="207" t="s">
        <v>5947</v>
      </c>
      <c r="Z23" s="207"/>
      <c r="AA23" s="207" t="s">
        <v>6374</v>
      </c>
      <c r="AB23" s="207"/>
      <c r="AC23" s="207"/>
      <c r="AD23" s="207" t="s">
        <v>6375</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5957</v>
      </c>
      <c r="B24" s="207"/>
      <c r="C24" s="207" t="s">
        <v>6376</v>
      </c>
      <c r="D24" s="207"/>
      <c r="E24" s="207"/>
      <c r="F24" s="207" t="s">
        <v>6254</v>
      </c>
      <c r="G24" s="207"/>
      <c r="H24" s="207"/>
      <c r="I24" s="207" t="s">
        <v>5957</v>
      </c>
      <c r="J24" s="207"/>
      <c r="K24" s="207"/>
      <c r="L24" s="207"/>
      <c r="M24" s="207"/>
      <c r="N24" s="207" t="s">
        <v>5957</v>
      </c>
      <c r="O24" s="207"/>
      <c r="P24" s="207"/>
      <c r="Q24" s="207" t="s">
        <v>6376</v>
      </c>
      <c r="R24" s="207"/>
      <c r="S24" s="207"/>
      <c r="T24" s="207"/>
      <c r="U24" s="207" t="s">
        <v>5957</v>
      </c>
      <c r="V24" s="207"/>
      <c r="W24" s="207"/>
      <c r="X24" s="207"/>
      <c r="Y24" s="207" t="s">
        <v>5957</v>
      </c>
      <c r="Z24" s="207"/>
      <c r="AA24" s="207" t="s">
        <v>5957</v>
      </c>
      <c r="AB24" s="207"/>
      <c r="AC24" s="207"/>
      <c r="AD24" s="207" t="s">
        <v>6377</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6378</v>
      </c>
      <c r="D25" s="207"/>
      <c r="E25" s="207"/>
      <c r="F25" s="207"/>
      <c r="G25" s="207"/>
      <c r="H25" s="207" t="s">
        <v>6287</v>
      </c>
      <c r="I25" s="207"/>
      <c r="J25" s="207"/>
      <c r="K25" s="207"/>
      <c r="L25" s="207" t="s">
        <v>6379</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6380</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6381</v>
      </c>
      <c r="B28" s="207"/>
      <c r="C28" s="207"/>
      <c r="D28" s="207"/>
      <c r="E28" s="207"/>
      <c r="F28" s="207" t="s">
        <v>6382</v>
      </c>
      <c r="G28" s="207"/>
      <c r="H28" s="207"/>
      <c r="I28" s="207"/>
      <c r="J28" s="207"/>
      <c r="K28" s="207"/>
      <c r="L28" s="207"/>
      <c r="M28" s="207"/>
      <c r="N28" s="207"/>
      <c r="O28" s="207"/>
      <c r="P28" s="207"/>
      <c r="Q28" s="207" t="s">
        <v>6282</v>
      </c>
      <c r="R28" s="207"/>
      <c r="S28" s="207"/>
      <c r="T28" s="207"/>
      <c r="U28" s="207" t="s">
        <v>5941</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5957</v>
      </c>
      <c r="B29" s="207"/>
      <c r="C29" s="207"/>
      <c r="D29" s="207"/>
      <c r="E29" s="207"/>
      <c r="F29" s="207" t="s">
        <v>6383</v>
      </c>
      <c r="G29" s="207"/>
      <c r="H29" s="207"/>
      <c r="I29" s="207"/>
      <c r="J29" s="207"/>
      <c r="K29" s="207"/>
      <c r="L29" s="207"/>
      <c r="M29" s="207"/>
      <c r="N29" s="207"/>
      <c r="O29" s="207"/>
      <c r="P29" s="207"/>
      <c r="Q29" s="207" t="s">
        <v>6257</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6384</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5957</v>
      </c>
      <c r="B31" s="207"/>
      <c r="C31" s="207"/>
      <c r="D31" s="207"/>
      <c r="E31" s="207"/>
      <c r="F31" s="207" t="s">
        <v>5968</v>
      </c>
      <c r="G31" s="207"/>
      <c r="H31" s="207"/>
      <c r="I31" s="207"/>
      <c r="J31" s="207"/>
      <c r="K31" s="207"/>
      <c r="L31" s="207"/>
      <c r="M31" s="207"/>
      <c r="N31" s="207"/>
      <c r="O31" s="207"/>
      <c r="P31" s="207"/>
      <c r="Q31" s="207" t="s">
        <v>5972</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6385</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5957</v>
      </c>
      <c r="B33" s="207"/>
      <c r="C33" s="207"/>
      <c r="D33" s="207"/>
      <c r="E33" s="207"/>
      <c r="F33" s="207" t="s">
        <v>5944</v>
      </c>
      <c r="G33" s="207"/>
      <c r="H33" s="207"/>
      <c r="I33" s="207"/>
      <c r="J33" s="207"/>
      <c r="K33" s="207"/>
      <c r="L33" s="207"/>
      <c r="M33" s="207"/>
      <c r="N33" s="207"/>
      <c r="O33" s="207"/>
      <c r="P33" s="207"/>
      <c r="Q33" s="207" t="s">
        <v>5949</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6386</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5957</v>
      </c>
      <c r="B35" s="207"/>
      <c r="C35" s="207"/>
      <c r="D35" s="207"/>
      <c r="E35" s="207"/>
      <c r="F35" s="207" t="s">
        <v>6063</v>
      </c>
      <c r="G35" s="207"/>
      <c r="H35" s="207"/>
      <c r="I35" s="207"/>
      <c r="J35" s="207"/>
      <c r="K35" s="207"/>
      <c r="L35" s="207"/>
      <c r="M35" s="207"/>
      <c r="N35" s="207"/>
      <c r="O35" s="207"/>
      <c r="P35" s="207"/>
      <c r="Q35" s="207" t="s">
        <v>6067</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6387</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5957</v>
      </c>
      <c r="B37" s="207"/>
      <c r="C37" s="207"/>
      <c r="D37" s="207"/>
      <c r="E37" s="207"/>
      <c r="F37" s="207" t="s">
        <v>5957</v>
      </c>
      <c r="G37" s="207"/>
      <c r="H37" s="207"/>
      <c r="I37" s="207"/>
      <c r="J37" s="207"/>
      <c r="K37" s="207"/>
      <c r="L37" s="207"/>
      <c r="M37" s="207"/>
      <c r="N37" s="207"/>
      <c r="O37" s="207"/>
      <c r="P37" s="207"/>
      <c r="Q37" s="207" t="s">
        <v>6169</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5957</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5957</v>
      </c>
      <c r="B39" s="207"/>
      <c r="C39" s="207"/>
      <c r="D39" s="207"/>
      <c r="E39" s="207"/>
      <c r="F39" s="207" t="s">
        <v>5997</v>
      </c>
      <c r="G39" s="207"/>
      <c r="H39" s="207"/>
      <c r="I39" s="207"/>
      <c r="J39" s="207"/>
      <c r="K39" s="207"/>
      <c r="L39" s="207"/>
      <c r="M39" s="207"/>
      <c r="N39" s="207"/>
      <c r="O39" s="207"/>
      <c r="P39" s="207"/>
      <c r="Q39" s="207" t="s">
        <v>6001</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6388</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5957</v>
      </c>
      <c r="B41" s="207"/>
      <c r="C41" s="207"/>
      <c r="D41" s="207"/>
      <c r="E41" s="207"/>
      <c r="F41" s="207" t="s">
        <v>6056</v>
      </c>
      <c r="G41" s="207"/>
      <c r="H41" s="207"/>
      <c r="I41" s="207"/>
      <c r="J41" s="207"/>
      <c r="K41" s="207"/>
      <c r="L41" s="207"/>
      <c r="M41" s="207"/>
      <c r="N41" s="207"/>
      <c r="O41" s="207"/>
      <c r="P41" s="207"/>
      <c r="Q41" s="207" t="s">
        <v>6060</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6389</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5957</v>
      </c>
      <c r="B43" s="207"/>
      <c r="C43" s="207"/>
      <c r="D43" s="207"/>
      <c r="E43" s="207"/>
      <c r="F43" s="207" t="s">
        <v>5974</v>
      </c>
      <c r="G43" s="207"/>
      <c r="H43" s="207"/>
      <c r="I43" s="207"/>
      <c r="J43" s="207"/>
      <c r="K43" s="207"/>
      <c r="L43" s="207"/>
      <c r="M43" s="207"/>
      <c r="N43" s="207"/>
      <c r="O43" s="207"/>
      <c r="P43" s="207"/>
      <c r="Q43" s="207" t="s">
        <v>5978</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6390</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5957</v>
      </c>
      <c r="B45" s="207"/>
      <c r="C45" s="207"/>
      <c r="D45" s="207"/>
      <c r="E45" s="207"/>
      <c r="F45" s="207" t="s">
        <v>5951</v>
      </c>
      <c r="G45" s="207"/>
      <c r="H45" s="207"/>
      <c r="I45" s="207"/>
      <c r="J45" s="207"/>
      <c r="K45" s="207"/>
      <c r="L45" s="207"/>
      <c r="M45" s="207"/>
      <c r="N45" s="207"/>
      <c r="O45" s="207"/>
      <c r="P45" s="207"/>
      <c r="Q45" s="207" t="s">
        <v>5955</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6391</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5957</v>
      </c>
      <c r="B47" s="207"/>
      <c r="C47" s="207"/>
      <c r="D47" s="207"/>
      <c r="E47" s="207"/>
      <c r="F47" s="207" t="s">
        <v>6392</v>
      </c>
      <c r="G47" s="207"/>
      <c r="H47" s="207"/>
      <c r="I47" s="207"/>
      <c r="J47" s="207"/>
      <c r="K47" s="207"/>
      <c r="L47" s="207"/>
      <c r="M47" s="207"/>
      <c r="N47" s="207"/>
      <c r="O47" s="207"/>
      <c r="P47" s="207"/>
      <c r="Q47" s="207" t="s">
        <v>6030</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6393</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5957</v>
      </c>
      <c r="B49" s="207"/>
      <c r="C49" s="207"/>
      <c r="D49" s="207"/>
      <c r="E49" s="207"/>
      <c r="F49" s="207" t="s">
        <v>5962</v>
      </c>
      <c r="G49" s="207"/>
      <c r="H49" s="207"/>
      <c r="I49" s="207"/>
      <c r="J49" s="207"/>
      <c r="K49" s="207"/>
      <c r="L49" s="207"/>
      <c r="M49" s="207"/>
      <c r="N49" s="207"/>
      <c r="O49" s="207"/>
      <c r="P49" s="207"/>
      <c r="Q49" s="207" t="s">
        <v>5966</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6394</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5957</v>
      </c>
      <c r="B51" s="207"/>
      <c r="C51" s="207"/>
      <c r="D51" s="207"/>
      <c r="E51" s="207"/>
      <c r="F51" s="207" t="s">
        <v>5957</v>
      </c>
      <c r="G51" s="207"/>
      <c r="H51" s="207"/>
      <c r="I51" s="207"/>
      <c r="J51" s="207"/>
      <c r="K51" s="207"/>
      <c r="L51" s="207"/>
      <c r="M51" s="207"/>
      <c r="N51" s="207"/>
      <c r="O51" s="207"/>
      <c r="P51" s="207"/>
      <c r="Q51" s="207" t="s">
        <v>6211</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5957</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6287</v>
      </c>
      <c r="B53" s="207"/>
      <c r="C53" s="207"/>
      <c r="D53" s="207"/>
      <c r="E53" s="207"/>
      <c r="F53" s="207" t="s">
        <v>5957</v>
      </c>
      <c r="G53" s="207"/>
      <c r="H53" s="207"/>
      <c r="I53" s="207"/>
      <c r="J53" s="207"/>
      <c r="K53" s="207"/>
      <c r="L53" s="207"/>
      <c r="M53" s="207"/>
      <c r="N53" s="207"/>
      <c r="O53" s="207"/>
      <c r="P53" s="207"/>
      <c r="Q53" s="207" t="s">
        <v>6292</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6395</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6287</v>
      </c>
      <c r="B55" s="207"/>
      <c r="C55" s="207"/>
      <c r="D55" s="207"/>
      <c r="E55" s="207"/>
      <c r="F55" s="207" t="s">
        <v>6396</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6397</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6398</v>
      </c>
      <c r="B59" s="207"/>
      <c r="C59" s="207" t="s">
        <v>6399</v>
      </c>
      <c r="D59" s="207"/>
      <c r="E59" s="207"/>
      <c r="F59" s="207" t="s">
        <v>6400</v>
      </c>
      <c r="G59" s="207"/>
      <c r="H59" s="207"/>
      <c r="I59" s="207"/>
      <c r="J59" s="207"/>
      <c r="K59" s="207"/>
      <c r="L59" s="207" t="s">
        <v>6401</v>
      </c>
      <c r="M59" s="207"/>
      <c r="N59" s="207"/>
      <c r="O59" s="207"/>
      <c r="P59" s="207"/>
      <c r="Q59" s="207"/>
      <c r="R59" s="207" t="s">
        <v>6282</v>
      </c>
      <c r="S59" s="207"/>
      <c r="T59" s="207"/>
      <c r="U59" s="207" t="s">
        <v>5941</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6402</v>
      </c>
      <c r="B60" s="207"/>
      <c r="C60" s="207"/>
      <c r="D60" s="207" t="s">
        <v>6403</v>
      </c>
      <c r="E60" s="207"/>
      <c r="F60" s="207"/>
      <c r="G60" s="207"/>
      <c r="H60" s="207"/>
      <c r="I60" s="207" t="s">
        <v>6404</v>
      </c>
      <c r="J60" s="207"/>
      <c r="K60" s="207"/>
      <c r="L60" s="207"/>
      <c r="M60" s="207"/>
      <c r="N60" s="207"/>
      <c r="O60" s="207"/>
      <c r="P60" s="207"/>
      <c r="Q60" s="207" t="s">
        <v>6405</v>
      </c>
      <c r="R60" s="207"/>
      <c r="S60" s="207"/>
      <c r="T60" s="207"/>
      <c r="U60" s="207" t="s">
        <v>6257</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6406</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6407</v>
      </c>
      <c r="B62" s="207"/>
      <c r="C62" s="207"/>
      <c r="D62" s="207" t="s">
        <v>6408</v>
      </c>
      <c r="E62" s="207"/>
      <c r="F62" s="207"/>
      <c r="G62" s="207"/>
      <c r="H62" s="207"/>
      <c r="I62" s="207" t="s">
        <v>6409</v>
      </c>
      <c r="J62" s="207"/>
      <c r="K62" s="207"/>
      <c r="L62" s="207"/>
      <c r="M62" s="207"/>
      <c r="N62" s="207"/>
      <c r="O62" s="207"/>
      <c r="P62" s="207"/>
      <c r="Q62" s="207" t="s">
        <v>6410</v>
      </c>
      <c r="R62" s="207"/>
      <c r="S62" s="207"/>
      <c r="T62" s="207"/>
      <c r="U62" s="207" t="s">
        <v>6030</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6411</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5957</v>
      </c>
      <c r="B64" s="207"/>
      <c r="C64" s="207"/>
      <c r="D64" s="207" t="s">
        <v>5957</v>
      </c>
      <c r="E64" s="207"/>
      <c r="F64" s="207"/>
      <c r="G64" s="207"/>
      <c r="H64" s="207"/>
      <c r="I64" s="207" t="s">
        <v>5957</v>
      </c>
      <c r="J64" s="207"/>
      <c r="K64" s="207"/>
      <c r="L64" s="207"/>
      <c r="M64" s="207"/>
      <c r="N64" s="207"/>
      <c r="O64" s="207"/>
      <c r="P64" s="207"/>
      <c r="Q64" s="207" t="s">
        <v>5957</v>
      </c>
      <c r="R64" s="207"/>
      <c r="S64" s="207"/>
      <c r="T64" s="207"/>
      <c r="U64" s="207" t="s">
        <v>6060</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5957</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6412</v>
      </c>
      <c r="B66" s="207"/>
      <c r="C66" s="207"/>
      <c r="D66" s="207" t="s">
        <v>6413</v>
      </c>
      <c r="E66" s="207"/>
      <c r="F66" s="207"/>
      <c r="G66" s="207"/>
      <c r="H66" s="207"/>
      <c r="I66" s="207"/>
      <c r="J66" s="207"/>
      <c r="K66" s="207" t="s">
        <v>6414</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6415</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6416</v>
      </c>
      <c r="E70" s="207"/>
      <c r="F70" s="207"/>
      <c r="G70" s="207"/>
      <c r="H70" s="207"/>
      <c r="I70" s="207" t="s">
        <v>6417</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5938</v>
      </c>
      <c r="M71" s="207"/>
      <c r="N71" s="207"/>
      <c r="O71" s="207"/>
      <c r="P71" s="207" t="s">
        <v>6418</v>
      </c>
      <c r="Q71" s="207" t="s">
        <v>6419</v>
      </c>
      <c r="R71" s="207"/>
      <c r="S71" s="207" t="s">
        <v>6420</v>
      </c>
      <c r="T71" s="207"/>
      <c r="U71" s="207" t="s">
        <v>6421</v>
      </c>
      <c r="V71" s="207"/>
      <c r="W71" s="207"/>
      <c r="X71" s="207" t="s">
        <v>6422</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5941</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6423</v>
      </c>
      <c r="B74" s="207" t="s">
        <v>6424</v>
      </c>
      <c r="C74" s="207" t="s">
        <v>6425</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5957</v>
      </c>
      <c r="C77" s="207" t="s">
        <v>6426</v>
      </c>
      <c r="D77" s="207"/>
      <c r="E77" s="207"/>
      <c r="F77" s="207" t="s">
        <v>6427</v>
      </c>
      <c r="G77" s="207"/>
      <c r="H77" s="207"/>
      <c r="I77" s="207"/>
      <c r="J77" s="207" t="s">
        <v>6428</v>
      </c>
      <c r="K77" s="207"/>
      <c r="L77" s="207"/>
      <c r="M77" s="207"/>
      <c r="N77" s="207"/>
      <c r="O77" s="207" t="s">
        <v>6265</v>
      </c>
      <c r="P77" s="207"/>
      <c r="Q77" s="207" t="s">
        <v>5947</v>
      </c>
      <c r="R77" s="207"/>
      <c r="S77" s="207" t="s">
        <v>6126</v>
      </c>
      <c r="T77" s="207"/>
      <c r="U77" s="207" t="s">
        <v>6125</v>
      </c>
      <c r="V77" s="207"/>
      <c r="W77" s="207"/>
      <c r="X77" s="207" t="s">
        <v>6429</v>
      </c>
      <c r="Y77" s="207"/>
      <c r="Z77" s="207" t="s">
        <v>6430</v>
      </c>
      <c r="AA77" s="207"/>
      <c r="AB77" s="207"/>
      <c r="AC77" s="207" t="s">
        <v>6127</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5957</v>
      </c>
      <c r="C81" s="207" t="s">
        <v>6431</v>
      </c>
      <c r="D81" s="207"/>
      <c r="E81" s="207"/>
      <c r="F81" s="207" t="s">
        <v>6432</v>
      </c>
      <c r="G81" s="207"/>
      <c r="H81" s="207"/>
      <c r="I81" s="207"/>
      <c r="J81" s="207" t="s">
        <v>6433</v>
      </c>
      <c r="K81" s="207"/>
      <c r="L81" s="207"/>
      <c r="M81" s="207"/>
      <c r="N81" s="207"/>
      <c r="O81" s="207" t="s">
        <v>6434</v>
      </c>
      <c r="P81" s="207"/>
      <c r="Q81" s="207" t="s">
        <v>5947</v>
      </c>
      <c r="R81" s="207"/>
      <c r="S81" s="207" t="s">
        <v>6080</v>
      </c>
      <c r="T81" s="207"/>
      <c r="U81" s="207" t="s">
        <v>6079</v>
      </c>
      <c r="V81" s="207"/>
      <c r="W81" s="207"/>
      <c r="X81" s="207" t="s">
        <v>6435</v>
      </c>
      <c r="Y81" s="207"/>
      <c r="Z81" s="207" t="s">
        <v>6430</v>
      </c>
      <c r="AA81" s="207"/>
      <c r="AB81" s="207"/>
      <c r="AC81" s="207" t="s">
        <v>6081</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5957</v>
      </c>
      <c r="C84" s="207" t="s">
        <v>6436</v>
      </c>
      <c r="D84" s="207"/>
      <c r="E84" s="207"/>
      <c r="F84" s="207" t="s">
        <v>6437</v>
      </c>
      <c r="G84" s="207"/>
      <c r="H84" s="207"/>
      <c r="I84" s="207"/>
      <c r="J84" s="207" t="s">
        <v>6438</v>
      </c>
      <c r="K84" s="207"/>
      <c r="L84" s="207"/>
      <c r="M84" s="207"/>
      <c r="N84" s="207"/>
      <c r="O84" s="207" t="s">
        <v>6265</v>
      </c>
      <c r="P84" s="207"/>
      <c r="Q84" s="207" t="s">
        <v>5947</v>
      </c>
      <c r="R84" s="207"/>
      <c r="S84" s="207" t="s">
        <v>5948</v>
      </c>
      <c r="T84" s="207"/>
      <c r="U84" s="207" t="s">
        <v>6439</v>
      </c>
      <c r="V84" s="207"/>
      <c r="W84" s="207"/>
      <c r="X84" s="207" t="s">
        <v>6440</v>
      </c>
      <c r="Y84" s="207"/>
      <c r="Z84" s="207" t="s">
        <v>6430</v>
      </c>
      <c r="AA84" s="207"/>
      <c r="AB84" s="207"/>
      <c r="AC84" s="207" t="s">
        <v>5949</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5957</v>
      </c>
      <c r="C87" s="207" t="s">
        <v>6441</v>
      </c>
      <c r="D87" s="207"/>
      <c r="E87" s="207"/>
      <c r="F87" s="207" t="s">
        <v>6442</v>
      </c>
      <c r="G87" s="207"/>
      <c r="H87" s="207"/>
      <c r="I87" s="207"/>
      <c r="J87" s="207" t="s">
        <v>6443</v>
      </c>
      <c r="K87" s="207"/>
      <c r="L87" s="207"/>
      <c r="M87" s="207"/>
      <c r="N87" s="207"/>
      <c r="O87" s="207" t="s">
        <v>6444</v>
      </c>
      <c r="P87" s="207"/>
      <c r="Q87" s="207" t="s">
        <v>5947</v>
      </c>
      <c r="R87" s="207"/>
      <c r="S87" s="207" t="s">
        <v>6297</v>
      </c>
      <c r="T87" s="207"/>
      <c r="U87" s="207" t="s">
        <v>6296</v>
      </c>
      <c r="V87" s="207"/>
      <c r="W87" s="207"/>
      <c r="X87" s="207" t="s">
        <v>6429</v>
      </c>
      <c r="Y87" s="207"/>
      <c r="Z87" s="207" t="s">
        <v>6430</v>
      </c>
      <c r="AA87" s="207"/>
      <c r="AB87" s="207"/>
      <c r="AC87" s="207" t="s">
        <v>6298</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5957</v>
      </c>
      <c r="C90" s="207" t="s">
        <v>6445</v>
      </c>
      <c r="D90" s="207"/>
      <c r="E90" s="207"/>
      <c r="F90" s="207" t="s">
        <v>6446</v>
      </c>
      <c r="G90" s="207"/>
      <c r="H90" s="207"/>
      <c r="I90" s="207"/>
      <c r="J90" s="207" t="s">
        <v>6447</v>
      </c>
      <c r="K90" s="207"/>
      <c r="L90" s="207"/>
      <c r="M90" s="207"/>
      <c r="N90" s="207"/>
      <c r="O90" s="207" t="s">
        <v>6448</v>
      </c>
      <c r="P90" s="207"/>
      <c r="Q90" s="207" t="s">
        <v>5957</v>
      </c>
      <c r="R90" s="207"/>
      <c r="S90" s="207" t="s">
        <v>6449</v>
      </c>
      <c r="T90" s="207"/>
      <c r="U90" s="207" t="s">
        <v>6450</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6451</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6452</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6453</v>
      </c>
      <c r="R98" s="207"/>
      <c r="S98" s="207"/>
      <c r="T98" s="207"/>
      <c r="U98" s="207" t="s">
        <v>6454</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6425</v>
      </c>
      <c r="S101" s="207"/>
      <c r="T101" s="207"/>
      <c r="U101" s="207" t="s">
        <v>6455</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6425</v>
      </c>
      <c r="R106" s="207"/>
      <c r="S106" s="207"/>
      <c r="T106" s="207"/>
      <c r="U106" s="207" t="s">
        <v>6456</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5387</v>
      </c>
      <c r="F2" s="67" t="s">
        <v>1220</v>
      </c>
      <c r="G2" s="67" t="s">
        <v>926</v>
      </c>
      <c r="H2" s="67" t="s">
        <v>5404</v>
      </c>
    </row>
    <row r="3" spans="1:8">
      <c r="A3" s="97"/>
      <c r="B3" s="97" t="s">
        <v>4361</v>
      </c>
      <c r="C3" s="97">
        <v>874</v>
      </c>
      <c r="D3" s="115">
        <v>6337102</v>
      </c>
      <c r="E3" s="115">
        <f>D3/C3</f>
        <v>7250.6887871853551</v>
      </c>
      <c r="F3" s="115">
        <f>E3*1.01</f>
        <v>7323.195675057209</v>
      </c>
      <c r="G3" s="97">
        <f>'برنامه 5 ساله'!P49</f>
        <v>21500</v>
      </c>
      <c r="H3" s="115">
        <f>C3*G3</f>
        <v>18791000</v>
      </c>
    </row>
    <row r="4" spans="1:8">
      <c r="A4" s="97"/>
      <c r="B4" s="97" t="s">
        <v>4219</v>
      </c>
      <c r="C4" s="97">
        <v>295000</v>
      </c>
      <c r="D4" s="115">
        <v>148594302</v>
      </c>
      <c r="E4" s="115">
        <f>D4/C4</f>
        <v>503.70949830508476</v>
      </c>
      <c r="F4" s="115">
        <f>E4*1.01</f>
        <v>508.74659328813561</v>
      </c>
      <c r="G4" s="97">
        <f>'برنامه 5 ساله'!P31</f>
        <v>964</v>
      </c>
      <c r="H4" s="115">
        <f>C4*G4</f>
        <v>284380000</v>
      </c>
    </row>
    <row r="5" spans="1:8">
      <c r="A5" s="97"/>
      <c r="B5" s="97" t="s">
        <v>4374</v>
      </c>
      <c r="C5" s="97">
        <v>2850</v>
      </c>
      <c r="D5" s="115">
        <v>4015726</v>
      </c>
      <c r="E5" s="115">
        <f>D5/C5</f>
        <v>1409.0266666666666</v>
      </c>
      <c r="F5" s="115">
        <f>E5*1.01</f>
        <v>1423.1169333333332</v>
      </c>
      <c r="G5" s="97">
        <v>2600</v>
      </c>
      <c r="H5" s="115">
        <f>C5*G5</f>
        <v>7410000</v>
      </c>
    </row>
    <row r="6" spans="1:8">
      <c r="A6" s="97" t="s">
        <v>5386</v>
      </c>
      <c r="B6" s="97" t="s">
        <v>5294</v>
      </c>
      <c r="C6" s="97">
        <v>0</v>
      </c>
      <c r="D6" s="115">
        <v>683292</v>
      </c>
      <c r="E6" s="115"/>
      <c r="F6" s="115"/>
      <c r="G6" s="97">
        <v>870</v>
      </c>
      <c r="H6" s="115">
        <f>D6</f>
        <v>683292</v>
      </c>
    </row>
    <row r="7" spans="1:8">
      <c r="A7" s="97" t="s">
        <v>5386</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311535261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5404</v>
      </c>
    </row>
    <row r="17" spans="1:8">
      <c r="A17" s="97"/>
      <c r="B17" s="97" t="s">
        <v>4361</v>
      </c>
      <c r="C17" s="97">
        <v>4279</v>
      </c>
      <c r="D17" s="115">
        <v>32796123</v>
      </c>
      <c r="E17" s="115">
        <f>D17/C17</f>
        <v>7664.436316896471</v>
      </c>
      <c r="F17" s="115">
        <f>E17*1.01</f>
        <v>7741.0806800654354</v>
      </c>
      <c r="G17" s="97">
        <f>G3</f>
        <v>21500</v>
      </c>
      <c r="H17" s="115">
        <f>C17*G17</f>
        <v>91998500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964</v>
      </c>
      <c r="H19" s="115">
        <f>C19*G19</f>
        <v>12470304</v>
      </c>
    </row>
    <row r="20" spans="1:8">
      <c r="A20" s="97"/>
      <c r="B20" s="97" t="s">
        <v>5294</v>
      </c>
      <c r="C20" s="97">
        <v>4687</v>
      </c>
      <c r="D20" s="115">
        <v>1911597</v>
      </c>
      <c r="E20" s="115">
        <f>D20/C20</f>
        <v>407.85086409216984</v>
      </c>
      <c r="F20" s="115">
        <f>E20*1.01</f>
        <v>411.92937273309155</v>
      </c>
      <c r="G20" s="97">
        <f>G6</f>
        <v>870</v>
      </c>
      <c r="H20" s="115">
        <f>C20*G20</f>
        <v>4077690</v>
      </c>
    </row>
    <row r="21" spans="1:8">
      <c r="A21" s="97" t="s">
        <v>5386</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292026932</v>
      </c>
    </row>
    <row r="26" spans="1:8">
      <c r="D26" t="s">
        <v>5405</v>
      </c>
      <c r="E26" s="112">
        <f>'خرید خانه'!H10+'خرید خانه'!H23-'خرید خانه'!D10-'خرید خانه'!D23</f>
        <v>301862193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5042</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4933</v>
      </c>
      <c r="B301" s="111">
        <v>-40000</v>
      </c>
      <c r="C301" s="97">
        <v>71</v>
      </c>
      <c r="D301" s="97">
        <f t="shared" si="13"/>
        <v>377</v>
      </c>
      <c r="E301" s="97">
        <f t="shared" si="14"/>
        <v>1</v>
      </c>
      <c r="F301" s="97">
        <f t="shared" si="9"/>
        <v>-15040000</v>
      </c>
      <c r="G301" s="97"/>
    </row>
    <row r="302" spans="1:10">
      <c r="A302" s="97" t="s">
        <v>5031</v>
      </c>
      <c r="B302" s="111">
        <v>4000000</v>
      </c>
      <c r="C302" s="97">
        <v>1</v>
      </c>
      <c r="D302" s="97">
        <f t="shared" si="13"/>
        <v>306</v>
      </c>
      <c r="E302" s="97">
        <f t="shared" si="14"/>
        <v>0</v>
      </c>
      <c r="F302" s="97">
        <f t="shared" si="9"/>
        <v>1224000000</v>
      </c>
      <c r="G302" s="97"/>
    </row>
    <row r="303" spans="1:10">
      <c r="A303" s="97" t="s">
        <v>5035</v>
      </c>
      <c r="B303" s="111">
        <v>-123860</v>
      </c>
      <c r="C303" s="97">
        <v>1</v>
      </c>
      <c r="D303" s="97">
        <f t="shared" si="13"/>
        <v>305</v>
      </c>
      <c r="E303" s="97">
        <f t="shared" si="14"/>
        <v>0</v>
      </c>
      <c r="F303" s="97">
        <f t="shared" si="9"/>
        <v>-37777300</v>
      </c>
      <c r="G303" s="97"/>
    </row>
    <row r="304" spans="1:10">
      <c r="A304" s="97" t="s">
        <v>5002</v>
      </c>
      <c r="B304" s="111">
        <v>-1660000</v>
      </c>
      <c r="C304" s="97">
        <v>1</v>
      </c>
      <c r="D304" s="97">
        <f t="shared" si="13"/>
        <v>304</v>
      </c>
      <c r="E304" s="97">
        <f t="shared" si="14"/>
        <v>0</v>
      </c>
      <c r="F304" s="97">
        <f t="shared" si="9"/>
        <v>-504640000</v>
      </c>
      <c r="G304" s="97"/>
    </row>
    <row r="305" spans="1:11">
      <c r="A305" s="97" t="s">
        <v>5041</v>
      </c>
      <c r="B305" s="111">
        <v>-63857</v>
      </c>
      <c r="C305" s="97">
        <v>0</v>
      </c>
      <c r="D305" s="97">
        <f t="shared" si="13"/>
        <v>303</v>
      </c>
      <c r="E305" s="97">
        <f t="shared" si="14"/>
        <v>0</v>
      </c>
      <c r="F305" s="97">
        <f t="shared" si="9"/>
        <v>-19348671</v>
      </c>
      <c r="G305" s="97"/>
    </row>
    <row r="306" spans="1:11">
      <c r="A306" s="97" t="s">
        <v>5043</v>
      </c>
      <c r="B306" s="111">
        <v>-631</v>
      </c>
      <c r="C306" s="97">
        <v>2</v>
      </c>
      <c r="D306" s="97">
        <f t="shared" si="13"/>
        <v>303</v>
      </c>
      <c r="E306" s="97">
        <f t="shared" si="14"/>
        <v>0</v>
      </c>
      <c r="F306" s="97">
        <f t="shared" si="9"/>
        <v>-191193</v>
      </c>
      <c r="G306" s="97" t="s">
        <v>504</v>
      </c>
      <c r="J306" t="s">
        <v>25</v>
      </c>
    </row>
    <row r="307" spans="1:11">
      <c r="A307" s="97" t="s">
        <v>5047</v>
      </c>
      <c r="B307" s="111">
        <v>-248905</v>
      </c>
      <c r="C307" s="97">
        <v>2</v>
      </c>
      <c r="D307" s="97">
        <f t="shared" ref="D307:D318" si="15">D308+C307</f>
        <v>301</v>
      </c>
      <c r="E307" s="97">
        <f t="shared" ref="E307:E318" si="16">IF(B308&gt;0,1,0)</f>
        <v>0</v>
      </c>
      <c r="F307" s="97">
        <f t="shared" si="9"/>
        <v>-74920405</v>
      </c>
      <c r="G307" s="97"/>
    </row>
    <row r="308" spans="1:11">
      <c r="A308" s="97" t="s">
        <v>5045</v>
      </c>
      <c r="B308" s="111">
        <v>-200000</v>
      </c>
      <c r="C308" s="97">
        <v>0</v>
      </c>
      <c r="D308" s="97">
        <f t="shared" si="15"/>
        <v>299</v>
      </c>
      <c r="E308" s="97">
        <f t="shared" si="16"/>
        <v>0</v>
      </c>
      <c r="F308" s="97">
        <f t="shared" si="9"/>
        <v>-59800000</v>
      </c>
      <c r="G308" s="97"/>
    </row>
    <row r="309" spans="1:11">
      <c r="A309" s="97" t="s">
        <v>5045</v>
      </c>
      <c r="B309" s="111">
        <v>-200000</v>
      </c>
      <c r="C309" s="97">
        <v>3</v>
      </c>
      <c r="D309" s="97">
        <f t="shared" si="15"/>
        <v>299</v>
      </c>
      <c r="E309" s="97">
        <f t="shared" si="16"/>
        <v>0</v>
      </c>
      <c r="F309" s="97">
        <f t="shared" si="9"/>
        <v>-59800000</v>
      </c>
      <c r="G309" s="97"/>
    </row>
    <row r="310" spans="1:11">
      <c r="A310" s="97" t="s">
        <v>5052</v>
      </c>
      <c r="B310" s="111">
        <v>-832590</v>
      </c>
      <c r="C310" s="97">
        <v>0</v>
      </c>
      <c r="D310" s="97">
        <f t="shared" si="15"/>
        <v>296</v>
      </c>
      <c r="E310" s="97">
        <f t="shared" si="16"/>
        <v>0</v>
      </c>
      <c r="F310" s="97">
        <f t="shared" si="9"/>
        <v>-246446640</v>
      </c>
      <c r="G310" s="97"/>
    </row>
    <row r="311" spans="1:11">
      <c r="A311" s="97" t="s">
        <v>5052</v>
      </c>
      <c r="B311" s="111">
        <v>-29950</v>
      </c>
      <c r="C311" s="97">
        <v>1</v>
      </c>
      <c r="D311" s="97">
        <f t="shared" si="15"/>
        <v>296</v>
      </c>
      <c r="E311" s="97">
        <f t="shared" si="16"/>
        <v>0</v>
      </c>
      <c r="F311" s="97">
        <f t="shared" si="9"/>
        <v>-8865200</v>
      </c>
      <c r="G311" s="97"/>
      <c r="K311" t="s">
        <v>25</v>
      </c>
    </row>
    <row r="312" spans="1:11">
      <c r="A312" s="97" t="s">
        <v>5089</v>
      </c>
      <c r="B312" s="111">
        <v>-8500</v>
      </c>
      <c r="C312" s="97">
        <v>1</v>
      </c>
      <c r="D312" s="97">
        <f t="shared" si="15"/>
        <v>295</v>
      </c>
      <c r="E312" s="97">
        <f t="shared" si="16"/>
        <v>0</v>
      </c>
      <c r="F312" s="97">
        <f t="shared" si="9"/>
        <v>-2507500</v>
      </c>
      <c r="G312" s="97"/>
    </row>
    <row r="313" spans="1:11">
      <c r="A313" s="97" t="s">
        <v>5069</v>
      </c>
      <c r="B313" s="111">
        <v>-116300</v>
      </c>
      <c r="C313" s="97">
        <v>1</v>
      </c>
      <c r="D313" s="97">
        <f t="shared" si="15"/>
        <v>294</v>
      </c>
      <c r="E313" s="97">
        <f t="shared" si="16"/>
        <v>0</v>
      </c>
      <c r="F313" s="97">
        <f t="shared" si="9"/>
        <v>-34192200</v>
      </c>
      <c r="G313" s="97"/>
    </row>
    <row r="314" spans="1:11">
      <c r="A314" s="97" t="s">
        <v>5055</v>
      </c>
      <c r="B314" s="111">
        <v>-75500</v>
      </c>
      <c r="C314" s="97">
        <v>1</v>
      </c>
      <c r="D314" s="97">
        <f t="shared" si="15"/>
        <v>293</v>
      </c>
      <c r="E314" s="97">
        <f t="shared" si="16"/>
        <v>0</v>
      </c>
      <c r="F314" s="97">
        <f t="shared" ref="F314:F331" si="17">B314*(D314-E314)</f>
        <v>-22121500</v>
      </c>
      <c r="G314" s="97"/>
    </row>
    <row r="315" spans="1:11">
      <c r="A315" s="97" t="s">
        <v>5065</v>
      </c>
      <c r="B315" s="111">
        <v>-331250</v>
      </c>
      <c r="C315" s="97">
        <v>2</v>
      </c>
      <c r="D315" s="97">
        <f t="shared" si="15"/>
        <v>292</v>
      </c>
      <c r="E315" s="97">
        <f t="shared" si="16"/>
        <v>0</v>
      </c>
      <c r="F315" s="97">
        <f t="shared" si="17"/>
        <v>-96725000</v>
      </c>
      <c r="G315" s="97"/>
    </row>
    <row r="316" spans="1:11">
      <c r="A316" s="97" t="s">
        <v>5090</v>
      </c>
      <c r="B316" s="111">
        <v>-39000</v>
      </c>
      <c r="C316" s="97">
        <v>1</v>
      </c>
      <c r="D316" s="97">
        <f t="shared" si="15"/>
        <v>290</v>
      </c>
      <c r="E316" s="97">
        <f t="shared" si="16"/>
        <v>0</v>
      </c>
      <c r="F316" s="97">
        <f t="shared" si="17"/>
        <v>-11310000</v>
      </c>
      <c r="G316" s="97"/>
      <c r="I316" s="112"/>
    </row>
    <row r="317" spans="1:11">
      <c r="A317" s="97" t="s">
        <v>5067</v>
      </c>
      <c r="B317" s="111">
        <v>-44000</v>
      </c>
      <c r="C317" s="97">
        <v>3</v>
      </c>
      <c r="D317" s="97">
        <f t="shared" si="15"/>
        <v>289</v>
      </c>
      <c r="E317" s="97">
        <f t="shared" si="16"/>
        <v>0</v>
      </c>
      <c r="F317" s="97">
        <f t="shared" si="17"/>
        <v>-12716000</v>
      </c>
      <c r="G317" s="97"/>
      <c r="J317" t="s">
        <v>25</v>
      </c>
    </row>
    <row r="318" spans="1:11">
      <c r="A318" s="97" t="s">
        <v>5014</v>
      </c>
      <c r="B318" s="111">
        <v>-30476</v>
      </c>
      <c r="C318" s="97">
        <v>1</v>
      </c>
      <c r="D318" s="97">
        <f t="shared" si="15"/>
        <v>286</v>
      </c>
      <c r="E318" s="97">
        <f t="shared" si="16"/>
        <v>0</v>
      </c>
      <c r="F318" s="97">
        <f t="shared" si="17"/>
        <v>-8716136</v>
      </c>
      <c r="G318" s="97"/>
    </row>
    <row r="319" spans="1:11">
      <c r="A319" s="97" t="s">
        <v>5071</v>
      </c>
      <c r="B319" s="111">
        <v>-4000</v>
      </c>
      <c r="C319" s="97">
        <v>11</v>
      </c>
      <c r="D319" s="97">
        <f t="shared" ref="D319:D326" si="18">D320+C319</f>
        <v>285</v>
      </c>
      <c r="E319" s="97">
        <f t="shared" ref="E319:E326" si="19">IF(B320&gt;0,1,0)</f>
        <v>1</v>
      </c>
      <c r="F319" s="97">
        <f t="shared" si="17"/>
        <v>-1136000</v>
      </c>
      <c r="G319" s="97"/>
    </row>
    <row r="320" spans="1:11">
      <c r="A320" s="97" t="s">
        <v>5091</v>
      </c>
      <c r="B320" s="111">
        <v>6300000</v>
      </c>
      <c r="C320" s="97">
        <v>1</v>
      </c>
      <c r="D320" s="97">
        <f t="shared" si="18"/>
        <v>274</v>
      </c>
      <c r="E320" s="97">
        <f t="shared" si="19"/>
        <v>0</v>
      </c>
      <c r="F320" s="97">
        <f t="shared" si="17"/>
        <v>1726200000</v>
      </c>
      <c r="G320" s="97"/>
    </row>
    <row r="321" spans="1:9">
      <c r="A321" s="97" t="s">
        <v>5113</v>
      </c>
      <c r="B321" s="111">
        <v>-6000000</v>
      </c>
      <c r="C321" s="97">
        <v>2</v>
      </c>
      <c r="D321" s="97">
        <f t="shared" si="18"/>
        <v>273</v>
      </c>
      <c r="E321" s="97">
        <f t="shared" si="19"/>
        <v>0</v>
      </c>
      <c r="F321" s="97">
        <f t="shared" si="17"/>
        <v>-1638000000</v>
      </c>
      <c r="G321" s="97"/>
    </row>
    <row r="322" spans="1:9">
      <c r="A322" s="97" t="s">
        <v>5112</v>
      </c>
      <c r="B322" s="111">
        <v>-295000</v>
      </c>
      <c r="C322" s="97">
        <v>0</v>
      </c>
      <c r="D322" s="97">
        <f t="shared" si="18"/>
        <v>271</v>
      </c>
      <c r="E322" s="97">
        <f t="shared" si="19"/>
        <v>1</v>
      </c>
      <c r="F322" s="97">
        <f t="shared" si="17"/>
        <v>-79650000</v>
      </c>
      <c r="G322" s="97"/>
    </row>
    <row r="323" spans="1:9">
      <c r="A323" s="97" t="s">
        <v>5112</v>
      </c>
      <c r="B323" s="111">
        <v>483</v>
      </c>
      <c r="C323" s="97">
        <v>8</v>
      </c>
      <c r="D323" s="97">
        <f t="shared" si="18"/>
        <v>271</v>
      </c>
      <c r="E323" s="97">
        <f t="shared" si="19"/>
        <v>1</v>
      </c>
      <c r="F323" s="97">
        <f t="shared" si="17"/>
        <v>130410</v>
      </c>
      <c r="G323" s="97" t="s">
        <v>688</v>
      </c>
      <c r="I323" t="s">
        <v>25</v>
      </c>
    </row>
    <row r="324" spans="1:9">
      <c r="A324" s="97" t="s">
        <v>5130</v>
      </c>
      <c r="B324" s="111">
        <v>1700000</v>
      </c>
      <c r="C324" s="97">
        <v>0</v>
      </c>
      <c r="D324" s="97">
        <f t="shared" si="18"/>
        <v>263</v>
      </c>
      <c r="E324" s="97">
        <f t="shared" si="19"/>
        <v>0</v>
      </c>
      <c r="F324" s="97">
        <f t="shared" si="17"/>
        <v>447100000</v>
      </c>
      <c r="G324" s="97"/>
    </row>
    <row r="325" spans="1:9">
      <c r="A325" s="97" t="s">
        <v>5130</v>
      </c>
      <c r="B325" s="111">
        <v>-53000</v>
      </c>
      <c r="C325" s="97">
        <v>1</v>
      </c>
      <c r="D325" s="97">
        <f t="shared" si="18"/>
        <v>263</v>
      </c>
      <c r="E325" s="97">
        <f t="shared" si="19"/>
        <v>0</v>
      </c>
      <c r="F325" s="97">
        <f t="shared" si="17"/>
        <v>-13939000</v>
      </c>
      <c r="G325" s="97"/>
    </row>
    <row r="326" spans="1:9">
      <c r="A326" s="97" t="s">
        <v>5131</v>
      </c>
      <c r="B326" s="111">
        <v>-1300000</v>
      </c>
      <c r="C326" s="97">
        <v>0</v>
      </c>
      <c r="D326" s="97">
        <f t="shared" si="18"/>
        <v>262</v>
      </c>
      <c r="E326" s="97">
        <f t="shared" si="19"/>
        <v>0</v>
      </c>
      <c r="F326" s="97">
        <f t="shared" si="17"/>
        <v>-340600000</v>
      </c>
      <c r="G326" s="97"/>
      <c r="I326" t="s">
        <v>25</v>
      </c>
    </row>
    <row r="327" spans="1:9">
      <c r="A327" s="97" t="s">
        <v>5131</v>
      </c>
      <c r="B327" s="111">
        <v>-41500</v>
      </c>
      <c r="C327" s="97">
        <v>1</v>
      </c>
      <c r="D327" s="97">
        <f t="shared" ref="D327:D333" si="20">D328+C327</f>
        <v>262</v>
      </c>
      <c r="E327" s="97">
        <f t="shared" ref="E327:E333" si="21">IF(B328&gt;0,1,0)</f>
        <v>0</v>
      </c>
      <c r="F327" s="97">
        <f t="shared" si="17"/>
        <v>-10873000</v>
      </c>
      <c r="G327" s="97"/>
    </row>
    <row r="328" spans="1:9">
      <c r="A328" s="97" t="s">
        <v>5134</v>
      </c>
      <c r="B328" s="111">
        <v>-57700</v>
      </c>
      <c r="C328" s="97">
        <v>3</v>
      </c>
      <c r="D328" s="97">
        <f t="shared" si="20"/>
        <v>261</v>
      </c>
      <c r="E328" s="97">
        <f t="shared" si="21"/>
        <v>0</v>
      </c>
      <c r="F328" s="97">
        <f t="shared" si="17"/>
        <v>-15059700</v>
      </c>
      <c r="G328" s="97"/>
    </row>
    <row r="329" spans="1:9">
      <c r="A329" s="97" t="s">
        <v>5137</v>
      </c>
      <c r="B329" s="111">
        <v>-5600</v>
      </c>
      <c r="C329" s="97">
        <v>1</v>
      </c>
      <c r="D329" s="97">
        <f t="shared" si="20"/>
        <v>258</v>
      </c>
      <c r="E329" s="97">
        <f t="shared" si="21"/>
        <v>0</v>
      </c>
      <c r="F329" s="97">
        <f t="shared" si="17"/>
        <v>-1444800</v>
      </c>
      <c r="G329" s="97"/>
    </row>
    <row r="330" spans="1:9">
      <c r="A330" s="97" t="s">
        <v>5138</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5147</v>
      </c>
      <c r="B333" s="111">
        <v>-78508</v>
      </c>
      <c r="C333" s="97">
        <v>2</v>
      </c>
      <c r="D333" s="97">
        <f t="shared" si="20"/>
        <v>253</v>
      </c>
      <c r="E333" s="97">
        <f t="shared" si="21"/>
        <v>0</v>
      </c>
      <c r="F333" s="97">
        <f>B333*(D333-E333)</f>
        <v>-19862524</v>
      </c>
      <c r="G333" s="97"/>
    </row>
    <row r="334" spans="1:9">
      <c r="A334" s="97" t="s">
        <v>5148</v>
      </c>
      <c r="B334" s="111">
        <v>-2000</v>
      </c>
      <c r="C334" s="97">
        <v>4</v>
      </c>
      <c r="D334" s="97">
        <f t="shared" ref="D334:D352" si="22">D335+C334</f>
        <v>251</v>
      </c>
      <c r="E334" s="97">
        <f t="shared" ref="E334:E352" si="23">IF(B335&gt;0,1,0)</f>
        <v>1</v>
      </c>
      <c r="F334" s="97">
        <f t="shared" ref="F334:F352" si="24">B334*(D334-E334)</f>
        <v>-500000</v>
      </c>
      <c r="G334" s="97"/>
    </row>
    <row r="335" spans="1:9">
      <c r="A335" s="97" t="s">
        <v>5151</v>
      </c>
      <c r="B335" s="111">
        <v>2200472</v>
      </c>
      <c r="C335" s="97">
        <v>1</v>
      </c>
      <c r="D335" s="97">
        <f t="shared" si="22"/>
        <v>247</v>
      </c>
      <c r="E335" s="97">
        <f t="shared" si="23"/>
        <v>0</v>
      </c>
      <c r="F335" s="97">
        <f t="shared" si="24"/>
        <v>543516584</v>
      </c>
      <c r="G335" s="97"/>
      <c r="H335" t="s">
        <v>25</v>
      </c>
    </row>
    <row r="336" spans="1:9">
      <c r="A336" s="97" t="s">
        <v>5157</v>
      </c>
      <c r="B336" s="111">
        <v>-28000</v>
      </c>
      <c r="C336" s="97">
        <v>2</v>
      </c>
      <c r="D336" s="97">
        <f t="shared" si="22"/>
        <v>246</v>
      </c>
      <c r="E336" s="97">
        <f t="shared" si="23"/>
        <v>1</v>
      </c>
      <c r="F336" s="97">
        <f t="shared" si="24"/>
        <v>-6860000</v>
      </c>
      <c r="G336" s="97"/>
    </row>
    <row r="337" spans="1:13">
      <c r="A337" s="97" t="s">
        <v>5156</v>
      </c>
      <c r="B337" s="111">
        <v>2500000</v>
      </c>
      <c r="C337" s="97">
        <v>0</v>
      </c>
      <c r="D337" s="97">
        <f t="shared" si="22"/>
        <v>244</v>
      </c>
      <c r="E337" s="97">
        <f t="shared" si="23"/>
        <v>0</v>
      </c>
      <c r="F337" s="97">
        <f t="shared" si="24"/>
        <v>610000000</v>
      </c>
      <c r="G337" s="97"/>
    </row>
    <row r="338" spans="1:13">
      <c r="A338" s="97" t="s">
        <v>5156</v>
      </c>
      <c r="B338" s="111">
        <v>-407500</v>
      </c>
      <c r="C338" s="97">
        <v>2</v>
      </c>
      <c r="D338" s="97">
        <f t="shared" si="22"/>
        <v>244</v>
      </c>
      <c r="E338" s="97">
        <f t="shared" si="23"/>
        <v>0</v>
      </c>
      <c r="F338" s="97">
        <f t="shared" si="24"/>
        <v>-99430000</v>
      </c>
      <c r="G338" s="97"/>
    </row>
    <row r="339" spans="1:13">
      <c r="A339" s="97" t="s">
        <v>5158</v>
      </c>
      <c r="B339" s="111">
        <v>-3600</v>
      </c>
      <c r="C339" s="97">
        <v>1</v>
      </c>
      <c r="D339" s="97">
        <f t="shared" si="22"/>
        <v>242</v>
      </c>
      <c r="E339" s="97">
        <f t="shared" si="23"/>
        <v>0</v>
      </c>
      <c r="F339" s="97">
        <f t="shared" si="24"/>
        <v>-871200</v>
      </c>
      <c r="G339" s="97"/>
    </row>
    <row r="340" spans="1:13">
      <c r="A340" s="97" t="s">
        <v>5162</v>
      </c>
      <c r="B340" s="111">
        <v>-170094</v>
      </c>
      <c r="C340" s="97">
        <v>1</v>
      </c>
      <c r="D340" s="97">
        <f t="shared" si="22"/>
        <v>241</v>
      </c>
      <c r="E340" s="97">
        <f t="shared" si="23"/>
        <v>0</v>
      </c>
      <c r="F340" s="97">
        <f t="shared" si="24"/>
        <v>-40992654</v>
      </c>
      <c r="G340" s="97"/>
      <c r="J340" t="s">
        <v>25</v>
      </c>
    </row>
    <row r="341" spans="1:13">
      <c r="A341" s="97" t="s">
        <v>5159</v>
      </c>
      <c r="B341" s="111">
        <v>-51730</v>
      </c>
      <c r="C341" s="97">
        <v>1</v>
      </c>
      <c r="D341" s="97">
        <f t="shared" si="22"/>
        <v>240</v>
      </c>
      <c r="E341" s="97">
        <f t="shared" si="23"/>
        <v>0</v>
      </c>
      <c r="F341" s="97">
        <f t="shared" si="24"/>
        <v>-12415200</v>
      </c>
      <c r="G341" s="97"/>
    </row>
    <row r="342" spans="1:13">
      <c r="A342" s="97" t="s">
        <v>5163</v>
      </c>
      <c r="B342" s="111">
        <v>-200000</v>
      </c>
      <c r="C342" s="97">
        <v>2</v>
      </c>
      <c r="D342" s="97">
        <f t="shared" si="22"/>
        <v>239</v>
      </c>
      <c r="E342" s="97">
        <f t="shared" si="23"/>
        <v>0</v>
      </c>
      <c r="F342" s="97">
        <f t="shared" si="24"/>
        <v>-47800000</v>
      </c>
      <c r="G342" s="97"/>
    </row>
    <row r="343" spans="1:13">
      <c r="A343" s="97" t="s">
        <v>5129</v>
      </c>
      <c r="B343" s="111">
        <v>-3000000</v>
      </c>
      <c r="C343" s="97">
        <v>0</v>
      </c>
      <c r="D343" s="97">
        <f t="shared" si="22"/>
        <v>237</v>
      </c>
      <c r="E343" s="97">
        <f t="shared" si="23"/>
        <v>0</v>
      </c>
      <c r="F343" s="97">
        <f t="shared" si="24"/>
        <v>-711000000</v>
      </c>
      <c r="G343" s="97"/>
    </row>
    <row r="344" spans="1:13">
      <c r="A344" s="97" t="s">
        <v>5129</v>
      </c>
      <c r="B344" s="111">
        <v>-39726</v>
      </c>
      <c r="C344" s="97">
        <v>1</v>
      </c>
      <c r="D344" s="97">
        <f t="shared" si="22"/>
        <v>237</v>
      </c>
      <c r="E344" s="97">
        <f t="shared" si="23"/>
        <v>0</v>
      </c>
      <c r="F344" s="97">
        <f t="shared" si="24"/>
        <v>-9415062</v>
      </c>
      <c r="G344" s="97"/>
      <c r="M344" t="s">
        <v>25</v>
      </c>
    </row>
    <row r="345" spans="1:13">
      <c r="A345" s="97" t="s">
        <v>5165</v>
      </c>
      <c r="B345" s="111">
        <v>-566500</v>
      </c>
      <c r="C345" s="97">
        <v>1</v>
      </c>
      <c r="D345" s="97">
        <f t="shared" si="22"/>
        <v>236</v>
      </c>
      <c r="E345" s="97">
        <f t="shared" si="23"/>
        <v>0</v>
      </c>
      <c r="F345" s="97">
        <f t="shared" si="24"/>
        <v>-133694000</v>
      </c>
      <c r="G345" s="97"/>
      <c r="K345" t="s">
        <v>25</v>
      </c>
    </row>
    <row r="346" spans="1:13">
      <c r="A346" s="97" t="s">
        <v>5166</v>
      </c>
      <c r="B346" s="111">
        <v>-300000</v>
      </c>
      <c r="C346" s="97">
        <v>22</v>
      </c>
      <c r="D346" s="97">
        <f t="shared" si="22"/>
        <v>235</v>
      </c>
      <c r="E346" s="97">
        <f t="shared" si="23"/>
        <v>1</v>
      </c>
      <c r="F346" s="97">
        <f t="shared" si="24"/>
        <v>-70200000</v>
      </c>
      <c r="G346" s="97"/>
      <c r="J346" t="s">
        <v>25</v>
      </c>
    </row>
    <row r="347" spans="1:13">
      <c r="A347" s="97" t="s">
        <v>5186</v>
      </c>
      <c r="B347" s="111">
        <v>700000</v>
      </c>
      <c r="C347" s="97">
        <v>1</v>
      </c>
      <c r="D347" s="97">
        <f t="shared" si="22"/>
        <v>213</v>
      </c>
      <c r="E347" s="97">
        <f t="shared" si="23"/>
        <v>0</v>
      </c>
      <c r="F347" s="97">
        <f t="shared" si="24"/>
        <v>149100000</v>
      </c>
      <c r="G347" s="97"/>
    </row>
    <row r="348" spans="1:13">
      <c r="A348" s="97" t="s">
        <v>5189</v>
      </c>
      <c r="B348" s="111">
        <v>-101000</v>
      </c>
      <c r="C348" s="97">
        <v>1</v>
      </c>
      <c r="D348" s="97">
        <f t="shared" si="22"/>
        <v>212</v>
      </c>
      <c r="E348" s="97">
        <f t="shared" si="23"/>
        <v>0</v>
      </c>
      <c r="F348" s="97">
        <f t="shared" si="24"/>
        <v>-21412000</v>
      </c>
      <c r="G348" s="97"/>
    </row>
    <row r="349" spans="1:13">
      <c r="A349" s="97" t="s">
        <v>5189</v>
      </c>
      <c r="B349" s="111">
        <v>-57245</v>
      </c>
      <c r="C349" s="97">
        <v>1</v>
      </c>
      <c r="D349" s="97">
        <f t="shared" si="22"/>
        <v>211</v>
      </c>
      <c r="E349" s="97">
        <f t="shared" si="23"/>
        <v>0</v>
      </c>
      <c r="F349" s="97">
        <f t="shared" si="24"/>
        <v>-12078695</v>
      </c>
      <c r="G349" s="97"/>
    </row>
    <row r="350" spans="1:13">
      <c r="A350" s="97" t="s">
        <v>5191</v>
      </c>
      <c r="B350" s="111">
        <v>-398700</v>
      </c>
      <c r="C350" s="97">
        <v>2</v>
      </c>
      <c r="D350" s="97">
        <f t="shared" si="22"/>
        <v>210</v>
      </c>
      <c r="E350" s="97">
        <f t="shared" si="23"/>
        <v>0</v>
      </c>
      <c r="F350" s="97">
        <f t="shared" si="24"/>
        <v>-83727000</v>
      </c>
      <c r="G350" s="97"/>
    </row>
    <row r="351" spans="1:13">
      <c r="A351" s="97" t="s">
        <v>5190</v>
      </c>
      <c r="B351" s="111">
        <v>-87010</v>
      </c>
      <c r="C351" s="97">
        <v>5</v>
      </c>
      <c r="D351" s="97">
        <f t="shared" si="22"/>
        <v>208</v>
      </c>
      <c r="E351" s="97">
        <f t="shared" si="23"/>
        <v>0</v>
      </c>
      <c r="F351" s="97">
        <f t="shared" si="24"/>
        <v>-18098080</v>
      </c>
      <c r="G351" s="97"/>
    </row>
    <row r="352" spans="1:13">
      <c r="A352" s="97" t="s">
        <v>5220</v>
      </c>
      <c r="B352" s="111">
        <v>-50000</v>
      </c>
      <c r="C352" s="97">
        <v>28</v>
      </c>
      <c r="D352" s="97">
        <f t="shared" si="22"/>
        <v>203</v>
      </c>
      <c r="E352" s="97">
        <f t="shared" si="23"/>
        <v>1</v>
      </c>
      <c r="F352" s="97">
        <f t="shared" si="24"/>
        <v>-10100000</v>
      </c>
      <c r="G352" s="97"/>
    </row>
    <row r="353" spans="1:12">
      <c r="A353" s="97" t="s">
        <v>5219</v>
      </c>
      <c r="B353" s="111">
        <v>1200000</v>
      </c>
      <c r="C353" s="97">
        <v>0</v>
      </c>
      <c r="D353" s="97">
        <f t="shared" ref="D353:D365" si="25">D354+C353</f>
        <v>175</v>
      </c>
      <c r="E353" s="97">
        <f t="shared" ref="E353:E365" si="26">IF(B354&gt;0,1,0)</f>
        <v>0</v>
      </c>
      <c r="F353" s="97">
        <f t="shared" ref="F353:F365" si="27">B353*(D353-E353)</f>
        <v>210000000</v>
      </c>
      <c r="G353" s="97"/>
    </row>
    <row r="354" spans="1:12">
      <c r="A354" s="97" t="s">
        <v>5219</v>
      </c>
      <c r="B354" s="111">
        <v>-367300</v>
      </c>
      <c r="C354" s="97">
        <v>1</v>
      </c>
      <c r="D354" s="97">
        <f t="shared" si="25"/>
        <v>175</v>
      </c>
      <c r="E354" s="97">
        <f t="shared" si="26"/>
        <v>0</v>
      </c>
      <c r="F354" s="97">
        <f t="shared" si="27"/>
        <v>-64277500</v>
      </c>
      <c r="G354" s="97"/>
    </row>
    <row r="355" spans="1:12">
      <c r="A355" s="97" t="s">
        <v>5221</v>
      </c>
      <c r="B355" s="111">
        <v>-104894</v>
      </c>
      <c r="C355" s="97">
        <v>1</v>
      </c>
      <c r="D355" s="97">
        <f t="shared" si="25"/>
        <v>174</v>
      </c>
      <c r="E355" s="97">
        <f t="shared" si="26"/>
        <v>0</v>
      </c>
      <c r="F355" s="97">
        <f t="shared" si="27"/>
        <v>-18251556</v>
      </c>
      <c r="G355" s="97"/>
    </row>
    <row r="356" spans="1:12">
      <c r="A356" s="97" t="s">
        <v>5222</v>
      </c>
      <c r="B356" s="111">
        <v>-688700</v>
      </c>
      <c r="C356" s="97">
        <v>0</v>
      </c>
      <c r="D356" s="97">
        <f t="shared" si="25"/>
        <v>173</v>
      </c>
      <c r="E356" s="97">
        <f t="shared" si="26"/>
        <v>0</v>
      </c>
      <c r="F356" s="97">
        <f t="shared" si="27"/>
        <v>-119145100</v>
      </c>
      <c r="G356" s="97"/>
    </row>
    <row r="357" spans="1:12">
      <c r="A357" s="97" t="s">
        <v>5222</v>
      </c>
      <c r="B357" s="111">
        <v>-8321</v>
      </c>
      <c r="C357" s="97">
        <v>5</v>
      </c>
      <c r="D357" s="97">
        <f t="shared" si="25"/>
        <v>173</v>
      </c>
      <c r="E357" s="97">
        <f t="shared" si="26"/>
        <v>1</v>
      </c>
      <c r="F357" s="97">
        <f t="shared" si="27"/>
        <v>-1431212</v>
      </c>
      <c r="G357" s="97"/>
      <c r="J357" t="s">
        <v>25</v>
      </c>
    </row>
    <row r="358" spans="1:12">
      <c r="A358" s="97" t="s">
        <v>5232</v>
      </c>
      <c r="B358" s="111">
        <v>1000000</v>
      </c>
      <c r="C358" s="97">
        <v>0</v>
      </c>
      <c r="D358" s="97">
        <f t="shared" si="25"/>
        <v>168</v>
      </c>
      <c r="E358" s="97">
        <f t="shared" si="26"/>
        <v>0</v>
      </c>
      <c r="F358" s="97">
        <f t="shared" si="27"/>
        <v>168000000</v>
      </c>
      <c r="G358" s="97"/>
    </row>
    <row r="359" spans="1:12">
      <c r="A359" s="97" t="s">
        <v>5232</v>
      </c>
      <c r="B359" s="111">
        <v>-127644</v>
      </c>
      <c r="C359" s="97">
        <v>1</v>
      </c>
      <c r="D359" s="97">
        <f t="shared" si="25"/>
        <v>168</v>
      </c>
      <c r="E359" s="97">
        <f t="shared" si="26"/>
        <v>0</v>
      </c>
      <c r="F359" s="97">
        <f t="shared" si="27"/>
        <v>-21444192</v>
      </c>
      <c r="G359" s="97"/>
    </row>
    <row r="360" spans="1:12">
      <c r="A360" s="97" t="s">
        <v>5233</v>
      </c>
      <c r="B360" s="111">
        <v>-418000</v>
      </c>
      <c r="C360" s="97">
        <v>4</v>
      </c>
      <c r="D360" s="97">
        <f t="shared" si="25"/>
        <v>167</v>
      </c>
      <c r="E360" s="97">
        <f t="shared" si="26"/>
        <v>0</v>
      </c>
      <c r="F360" s="97">
        <f t="shared" si="27"/>
        <v>-69806000</v>
      </c>
      <c r="G360" s="97"/>
    </row>
    <row r="361" spans="1:12">
      <c r="A361" s="97" t="s">
        <v>5237</v>
      </c>
      <c r="B361" s="111">
        <v>-183136</v>
      </c>
      <c r="C361" s="97">
        <v>2</v>
      </c>
      <c r="D361" s="97">
        <f t="shared" si="25"/>
        <v>163</v>
      </c>
      <c r="E361" s="97">
        <f t="shared" si="26"/>
        <v>0</v>
      </c>
      <c r="F361" s="97">
        <f t="shared" si="27"/>
        <v>-29851168</v>
      </c>
      <c r="G361" s="97"/>
      <c r="L361" t="s">
        <v>25</v>
      </c>
    </row>
    <row r="362" spans="1:12">
      <c r="A362" s="97" t="s">
        <v>5258</v>
      </c>
      <c r="B362" s="111">
        <v>-18600</v>
      </c>
      <c r="C362" s="97">
        <v>2</v>
      </c>
      <c r="D362" s="97">
        <f t="shared" si="25"/>
        <v>161</v>
      </c>
      <c r="E362" s="97">
        <f t="shared" si="26"/>
        <v>0</v>
      </c>
      <c r="F362" s="97">
        <f t="shared" si="27"/>
        <v>-2994600</v>
      </c>
      <c r="G362" s="97"/>
    </row>
    <row r="363" spans="1:12">
      <c r="A363" s="97" t="s">
        <v>5243</v>
      </c>
      <c r="B363" s="111">
        <v>-90000</v>
      </c>
      <c r="C363" s="97">
        <v>1</v>
      </c>
      <c r="D363" s="97">
        <f t="shared" si="25"/>
        <v>159</v>
      </c>
      <c r="E363" s="97">
        <f t="shared" si="26"/>
        <v>0</v>
      </c>
      <c r="F363" s="97">
        <f t="shared" si="27"/>
        <v>-14310000</v>
      </c>
      <c r="G363" s="97"/>
    </row>
    <row r="364" spans="1:12">
      <c r="A364" s="97" t="s">
        <v>5244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5247</v>
      </c>
      <c r="B368" s="111">
        <v>3500000</v>
      </c>
      <c r="C368" s="97">
        <v>3</v>
      </c>
      <c r="D368" s="97">
        <f t="shared" si="28"/>
        <v>156</v>
      </c>
      <c r="E368" s="97">
        <f t="shared" si="29"/>
        <v>0</v>
      </c>
      <c r="F368" s="97">
        <f t="shared" si="30"/>
        <v>546000000</v>
      </c>
      <c r="G368" s="97"/>
    </row>
    <row r="369" spans="1:11">
      <c r="A369" s="97" t="s">
        <v>5249</v>
      </c>
      <c r="B369" s="111">
        <v>-93800</v>
      </c>
      <c r="C369" s="97">
        <v>1</v>
      </c>
      <c r="D369" s="97">
        <f t="shared" si="28"/>
        <v>153</v>
      </c>
      <c r="E369" s="97">
        <f t="shared" si="29"/>
        <v>0</v>
      </c>
      <c r="F369" s="97">
        <f t="shared" si="30"/>
        <v>-14351400</v>
      </c>
      <c r="G369" s="97"/>
    </row>
    <row r="370" spans="1:11">
      <c r="A370" s="97" t="s">
        <v>5251</v>
      </c>
      <c r="B370" s="111">
        <v>-815500</v>
      </c>
      <c r="C370" s="97">
        <v>1</v>
      </c>
      <c r="D370" s="97">
        <f t="shared" si="28"/>
        <v>152</v>
      </c>
      <c r="E370" s="97">
        <f t="shared" si="29"/>
        <v>0</v>
      </c>
      <c r="F370" s="97">
        <f t="shared" si="30"/>
        <v>-123956000</v>
      </c>
      <c r="G370" s="97"/>
    </row>
    <row r="371" spans="1:11">
      <c r="A371" s="97" t="s">
        <v>5254</v>
      </c>
      <c r="B371" s="111">
        <v>-2096840</v>
      </c>
      <c r="C371" s="97">
        <v>0</v>
      </c>
      <c r="D371" s="97">
        <f t="shared" si="28"/>
        <v>151</v>
      </c>
      <c r="E371" s="97">
        <f t="shared" si="29"/>
        <v>1</v>
      </c>
      <c r="F371" s="97">
        <f t="shared" si="30"/>
        <v>-314526000</v>
      </c>
      <c r="G371" s="97"/>
    </row>
    <row r="372" spans="1:11">
      <c r="A372" s="97" t="s">
        <v>5254</v>
      </c>
      <c r="B372" s="111">
        <v>533</v>
      </c>
      <c r="C372" s="97">
        <v>1</v>
      </c>
      <c r="D372" s="97">
        <f t="shared" si="28"/>
        <v>151</v>
      </c>
      <c r="E372" s="97">
        <f t="shared" si="29"/>
        <v>1</v>
      </c>
      <c r="F372" s="97">
        <f t="shared" si="30"/>
        <v>79950</v>
      </c>
      <c r="G372" s="97"/>
      <c r="J372" t="s">
        <v>25</v>
      </c>
    </row>
    <row r="373" spans="1:11">
      <c r="A373" s="97" t="s">
        <v>5256</v>
      </c>
      <c r="B373" s="111">
        <v>4100000</v>
      </c>
      <c r="C373" s="97">
        <v>1</v>
      </c>
      <c r="D373" s="97">
        <f t="shared" si="28"/>
        <v>150</v>
      </c>
      <c r="E373" s="97">
        <f t="shared" si="29"/>
        <v>0</v>
      </c>
      <c r="F373" s="97">
        <f t="shared" si="30"/>
        <v>615000000</v>
      </c>
      <c r="G373" s="97"/>
    </row>
    <row r="374" spans="1:11">
      <c r="A374" s="97" t="s">
        <v>5259</v>
      </c>
      <c r="B374" s="111">
        <v>-3642549</v>
      </c>
      <c r="C374" s="97">
        <v>3</v>
      </c>
      <c r="D374" s="97">
        <f t="shared" si="28"/>
        <v>149</v>
      </c>
      <c r="E374" s="97">
        <f t="shared" si="29"/>
        <v>0</v>
      </c>
      <c r="F374" s="97">
        <f t="shared" si="30"/>
        <v>-542739801</v>
      </c>
      <c r="G374" s="97"/>
    </row>
    <row r="375" spans="1:11">
      <c r="A375" s="97" t="s">
        <v>5268</v>
      </c>
      <c r="B375" s="111">
        <v>-317091</v>
      </c>
      <c r="C375" s="97">
        <v>1</v>
      </c>
      <c r="D375" s="97">
        <f t="shared" si="28"/>
        <v>146</v>
      </c>
      <c r="E375" s="97">
        <f t="shared" si="29"/>
        <v>0</v>
      </c>
      <c r="F375" s="97">
        <f t="shared" si="30"/>
        <v>-46295286</v>
      </c>
      <c r="G375" s="97"/>
    </row>
    <row r="376" spans="1:11">
      <c r="A376" s="97" t="s">
        <v>5261</v>
      </c>
      <c r="B376" s="111">
        <v>-1600000</v>
      </c>
      <c r="C376" s="97">
        <v>1</v>
      </c>
      <c r="D376" s="97">
        <f t="shared" si="28"/>
        <v>145</v>
      </c>
      <c r="E376" s="97">
        <f t="shared" si="29"/>
        <v>0</v>
      </c>
      <c r="F376" s="97">
        <f t="shared" si="30"/>
        <v>-232000000</v>
      </c>
      <c r="G376" s="97"/>
    </row>
    <row r="377" spans="1:11">
      <c r="A377" s="97" t="s">
        <v>5263</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5338</v>
      </c>
      <c r="B379" s="111">
        <v>10000000</v>
      </c>
      <c r="C379" s="97">
        <v>0</v>
      </c>
      <c r="D379" s="97">
        <f t="shared" si="31"/>
        <v>121</v>
      </c>
      <c r="E379" s="97">
        <f t="shared" si="32"/>
        <v>0</v>
      </c>
      <c r="F379" s="97">
        <f t="shared" si="33"/>
        <v>1210000000</v>
      </c>
      <c r="G379" s="97"/>
    </row>
    <row r="380" spans="1:11">
      <c r="A380" s="97" t="s">
        <v>5338</v>
      </c>
      <c r="B380" s="111">
        <v>-3000000</v>
      </c>
      <c r="C380" s="97">
        <v>0</v>
      </c>
      <c r="D380" s="97">
        <f t="shared" si="31"/>
        <v>121</v>
      </c>
      <c r="E380" s="97">
        <f t="shared" si="32"/>
        <v>0</v>
      </c>
      <c r="F380" s="97">
        <f t="shared" si="33"/>
        <v>-363000000</v>
      </c>
      <c r="G380" s="97"/>
    </row>
    <row r="381" spans="1:11">
      <c r="A381" s="97" t="s">
        <v>5338</v>
      </c>
      <c r="B381" s="111">
        <v>-3971300</v>
      </c>
      <c r="C381" s="97">
        <v>7</v>
      </c>
      <c r="D381" s="97">
        <f t="shared" si="31"/>
        <v>121</v>
      </c>
      <c r="E381" s="97">
        <f t="shared" si="32"/>
        <v>0</v>
      </c>
      <c r="F381" s="97">
        <f t="shared" si="33"/>
        <v>-480527300</v>
      </c>
      <c r="G381" s="97"/>
    </row>
    <row r="382" spans="1:11">
      <c r="A382" s="97" t="s">
        <v>5353</v>
      </c>
      <c r="B382" s="111">
        <v>-2472422</v>
      </c>
      <c r="C382" s="97">
        <v>2</v>
      </c>
      <c r="D382" s="97">
        <f t="shared" si="31"/>
        <v>114</v>
      </c>
      <c r="E382" s="97">
        <f t="shared" si="32"/>
        <v>0</v>
      </c>
      <c r="F382" s="97">
        <f t="shared" si="33"/>
        <v>-281856108</v>
      </c>
      <c r="G382" s="97"/>
    </row>
    <row r="383" spans="1:11">
      <c r="A383" s="97" t="s">
        <v>5377</v>
      </c>
      <c r="B383" s="111">
        <v>-345000</v>
      </c>
      <c r="C383" s="97">
        <v>1</v>
      </c>
      <c r="D383" s="97">
        <f t="shared" si="31"/>
        <v>112</v>
      </c>
      <c r="E383" s="97">
        <f t="shared" si="32"/>
        <v>0</v>
      </c>
      <c r="F383" s="97">
        <f t="shared" si="33"/>
        <v>-38640000</v>
      </c>
      <c r="G383" s="97"/>
    </row>
    <row r="384" spans="1:11">
      <c r="A384" s="97" t="s">
        <v>5378</v>
      </c>
      <c r="B384" s="111">
        <v>-200000</v>
      </c>
      <c r="C384" s="97">
        <v>10</v>
      </c>
      <c r="D384" s="97">
        <f t="shared" si="31"/>
        <v>111</v>
      </c>
      <c r="E384" s="97">
        <f t="shared" si="32"/>
        <v>1</v>
      </c>
      <c r="F384" s="97">
        <f t="shared" si="33"/>
        <v>-22000000</v>
      </c>
      <c r="G384" s="97"/>
    </row>
    <row r="385" spans="1:10">
      <c r="A385" s="97" t="s">
        <v>5373</v>
      </c>
      <c r="B385" s="111">
        <v>800000</v>
      </c>
      <c r="C385" s="97">
        <v>0</v>
      </c>
      <c r="D385" s="97">
        <f t="shared" si="31"/>
        <v>101</v>
      </c>
      <c r="E385" s="97">
        <f t="shared" si="32"/>
        <v>0</v>
      </c>
      <c r="F385" s="97">
        <f t="shared" si="33"/>
        <v>80800000</v>
      </c>
      <c r="G385" s="97"/>
    </row>
    <row r="386" spans="1:10">
      <c r="A386" s="97" t="s">
        <v>5373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5379</v>
      </c>
      <c r="B389" s="111">
        <v>8000000</v>
      </c>
      <c r="C389" s="97">
        <v>1</v>
      </c>
      <c r="D389" s="97">
        <f t="shared" si="31"/>
        <v>99</v>
      </c>
      <c r="E389" s="97">
        <f t="shared" si="32"/>
        <v>0</v>
      </c>
      <c r="F389" s="97">
        <f t="shared" si="33"/>
        <v>792000000</v>
      </c>
      <c r="G389" s="97"/>
    </row>
    <row r="390" spans="1:10">
      <c r="A390" s="97" t="s">
        <v>5380</v>
      </c>
      <c r="B390" s="111">
        <v>-10000</v>
      </c>
      <c r="C390" s="97">
        <v>1</v>
      </c>
      <c r="D390" s="97">
        <f t="shared" si="31"/>
        <v>98</v>
      </c>
      <c r="E390" s="97">
        <f t="shared" si="32"/>
        <v>0</v>
      </c>
      <c r="F390" s="97">
        <f t="shared" si="33"/>
        <v>-980000</v>
      </c>
      <c r="G390" s="97"/>
    </row>
    <row r="391" spans="1:10">
      <c r="A391" s="97" t="s">
        <v>5381</v>
      </c>
      <c r="B391" s="111">
        <v>-88000</v>
      </c>
      <c r="C391" s="97">
        <v>1</v>
      </c>
      <c r="D391" s="97">
        <f t="shared" si="31"/>
        <v>97</v>
      </c>
      <c r="E391" s="97">
        <f t="shared" si="32"/>
        <v>0</v>
      </c>
      <c r="F391" s="97">
        <f t="shared" si="33"/>
        <v>-8536000</v>
      </c>
      <c r="G391" s="97"/>
    </row>
    <row r="392" spans="1:10">
      <c r="A392" s="97" t="s">
        <v>5382</v>
      </c>
      <c r="B392" s="111">
        <v>-297675</v>
      </c>
      <c r="C392" s="97">
        <v>3</v>
      </c>
      <c r="D392" s="97">
        <f t="shared" si="31"/>
        <v>96</v>
      </c>
      <c r="E392" s="97">
        <f t="shared" si="32"/>
        <v>0</v>
      </c>
      <c r="F392" s="97">
        <f t="shared" si="33"/>
        <v>-28576800</v>
      </c>
      <c r="G392" s="97"/>
    </row>
    <row r="393" spans="1:10">
      <c r="A393" s="97" t="s">
        <v>5374</v>
      </c>
      <c r="B393" s="111">
        <v>-10114121</v>
      </c>
      <c r="C393" s="97">
        <v>1</v>
      </c>
      <c r="D393" s="97">
        <f t="shared" si="31"/>
        <v>93</v>
      </c>
      <c r="E393" s="97">
        <f t="shared" si="32"/>
        <v>0</v>
      </c>
      <c r="F393" s="97">
        <f t="shared" si="33"/>
        <v>-940613253</v>
      </c>
      <c r="G393" s="97"/>
    </row>
    <row r="394" spans="1:10">
      <c r="A394" s="97" t="s">
        <v>5375</v>
      </c>
      <c r="B394" s="111">
        <v>-9000000</v>
      </c>
      <c r="C394" s="97">
        <v>1</v>
      </c>
      <c r="D394" s="97">
        <f t="shared" si="31"/>
        <v>92</v>
      </c>
      <c r="E394" s="97">
        <f t="shared" si="32"/>
        <v>0</v>
      </c>
      <c r="F394" s="97">
        <f t="shared" si="33"/>
        <v>-828000000</v>
      </c>
      <c r="G394" s="97"/>
      <c r="J394" s="112">
        <f>B422-743653+21500</f>
        <v>3919446</v>
      </c>
    </row>
    <row r="395" spans="1:10">
      <c r="A395" s="97" t="s">
        <v>5383</v>
      </c>
      <c r="B395" s="111">
        <v>-83930</v>
      </c>
      <c r="C395" s="97">
        <v>1</v>
      </c>
      <c r="D395" s="97">
        <f t="shared" si="31"/>
        <v>91</v>
      </c>
      <c r="E395" s="97">
        <f t="shared" si="32"/>
        <v>0</v>
      </c>
      <c r="F395" s="97">
        <f t="shared" si="33"/>
        <v>-7637630</v>
      </c>
      <c r="G395" s="97"/>
    </row>
    <row r="396" spans="1:10">
      <c r="A396" s="97" t="s">
        <v>5384</v>
      </c>
      <c r="B396" s="111">
        <v>-19520</v>
      </c>
      <c r="C396" s="97">
        <v>0</v>
      </c>
      <c r="D396" s="97">
        <f t="shared" si="31"/>
        <v>90</v>
      </c>
      <c r="E396" s="97">
        <f t="shared" si="32"/>
        <v>0</v>
      </c>
      <c r="F396" s="97">
        <f t="shared" si="33"/>
        <v>-1756800</v>
      </c>
      <c r="G396" s="97"/>
    </row>
    <row r="397" spans="1:10">
      <c r="A397" s="97" t="s">
        <v>5384</v>
      </c>
      <c r="B397" s="111">
        <v>-676034</v>
      </c>
      <c r="C397" s="97">
        <v>27</v>
      </c>
      <c r="D397" s="97">
        <f t="shared" si="31"/>
        <v>90</v>
      </c>
      <c r="E397" s="97">
        <f t="shared" si="32"/>
        <v>1</v>
      </c>
      <c r="F397" s="97">
        <f t="shared" si="33"/>
        <v>-60167026</v>
      </c>
      <c r="G397" s="97"/>
    </row>
    <row r="398" spans="1:10">
      <c r="A398" s="97" t="s">
        <v>5413</v>
      </c>
      <c r="B398" s="111">
        <v>2200000</v>
      </c>
      <c r="C398" s="97">
        <v>2</v>
      </c>
      <c r="D398" s="97">
        <f t="shared" si="31"/>
        <v>63</v>
      </c>
      <c r="E398" s="97">
        <f t="shared" si="32"/>
        <v>0</v>
      </c>
      <c r="F398" s="97">
        <f t="shared" si="33"/>
        <v>138600000</v>
      </c>
      <c r="G398" s="97"/>
    </row>
    <row r="399" spans="1:10">
      <c r="A399" s="97" t="s">
        <v>5418</v>
      </c>
      <c r="B399" s="111">
        <v>-2000000</v>
      </c>
      <c r="C399" s="97">
        <v>1</v>
      </c>
      <c r="D399" s="97">
        <f t="shared" si="31"/>
        <v>61</v>
      </c>
      <c r="E399" s="97">
        <f t="shared" si="32"/>
        <v>0</v>
      </c>
      <c r="F399" s="97">
        <f t="shared" si="33"/>
        <v>-122000000</v>
      </c>
      <c r="G399" s="97"/>
    </row>
    <row r="400" spans="1:10">
      <c r="A400" s="97" t="s">
        <v>5419</v>
      </c>
      <c r="B400" s="111">
        <v>-28400</v>
      </c>
      <c r="C400" s="97">
        <v>1</v>
      </c>
      <c r="D400" s="97">
        <f t="shared" si="31"/>
        <v>60</v>
      </c>
      <c r="E400" s="97">
        <f t="shared" si="32"/>
        <v>0</v>
      </c>
      <c r="F400" s="97">
        <f t="shared" si="33"/>
        <v>-1704000</v>
      </c>
      <c r="G400" s="97"/>
    </row>
    <row r="401" spans="1:15">
      <c r="A401" s="97" t="s">
        <v>5421</v>
      </c>
      <c r="B401" s="111">
        <v>-126475</v>
      </c>
      <c r="C401" s="97">
        <v>1</v>
      </c>
      <c r="D401" s="97">
        <f t="shared" si="31"/>
        <v>59</v>
      </c>
      <c r="E401" s="97">
        <f t="shared" si="32"/>
        <v>0</v>
      </c>
      <c r="F401" s="97">
        <f t="shared" si="33"/>
        <v>-7462025</v>
      </c>
      <c r="G401" s="97"/>
    </row>
    <row r="402" spans="1:15">
      <c r="A402" s="97" t="s">
        <v>5420</v>
      </c>
      <c r="B402" s="111">
        <v>-32807</v>
      </c>
      <c r="C402" s="97">
        <v>4</v>
      </c>
      <c r="D402" s="97">
        <f t="shared" si="31"/>
        <v>58</v>
      </c>
      <c r="E402" s="97">
        <f t="shared" si="32"/>
        <v>0</v>
      </c>
      <c r="F402" s="97">
        <f t="shared" si="33"/>
        <v>-1902806</v>
      </c>
      <c r="G402" s="97"/>
    </row>
    <row r="403" spans="1:15">
      <c r="A403" s="97" t="s">
        <v>5424</v>
      </c>
      <c r="B403" s="111">
        <v>-11700</v>
      </c>
      <c r="C403" s="97">
        <v>7</v>
      </c>
      <c r="D403" s="97">
        <f t="shared" si="31"/>
        <v>54</v>
      </c>
      <c r="E403" s="97">
        <f t="shared" si="32"/>
        <v>1</v>
      </c>
      <c r="F403" s="97">
        <f t="shared" si="33"/>
        <v>-620100</v>
      </c>
      <c r="G403" s="97"/>
    </row>
    <row r="404" spans="1:15">
      <c r="A404" s="97" t="s">
        <v>5433</v>
      </c>
      <c r="B404" s="111">
        <v>5032773</v>
      </c>
      <c r="C404" s="97">
        <v>0</v>
      </c>
      <c r="D404" s="97">
        <f t="shared" si="31"/>
        <v>47</v>
      </c>
      <c r="E404" s="97">
        <f t="shared" si="32"/>
        <v>0</v>
      </c>
      <c r="F404" s="97">
        <f t="shared" si="33"/>
        <v>236540331</v>
      </c>
      <c r="G404" s="97"/>
    </row>
    <row r="405" spans="1:15">
      <c r="A405" s="97" t="s">
        <v>5433</v>
      </c>
      <c r="B405" s="111">
        <v>-5000000</v>
      </c>
      <c r="C405" s="97">
        <v>13</v>
      </c>
      <c r="D405" s="97">
        <f t="shared" si="31"/>
        <v>47</v>
      </c>
      <c r="E405" s="97">
        <f t="shared" si="32"/>
        <v>1</v>
      </c>
      <c r="F405" s="97">
        <f t="shared" si="33"/>
        <v>-230000000</v>
      </c>
      <c r="G405" s="97"/>
    </row>
    <row r="406" spans="1:15">
      <c r="A406" s="97" t="s">
        <v>5468</v>
      </c>
      <c r="B406" s="111">
        <v>1200000</v>
      </c>
      <c r="C406" s="97">
        <v>1</v>
      </c>
      <c r="D406" s="97">
        <f t="shared" si="31"/>
        <v>34</v>
      </c>
      <c r="E406" s="97">
        <f t="shared" si="32"/>
        <v>0</v>
      </c>
      <c r="F406" s="97">
        <f t="shared" si="33"/>
        <v>40800000</v>
      </c>
      <c r="G406" s="97"/>
    </row>
    <row r="407" spans="1:15">
      <c r="A407" s="97" t="s">
        <v>5449</v>
      </c>
      <c r="B407" s="111">
        <v>-1200000</v>
      </c>
      <c r="C407" s="97">
        <v>0</v>
      </c>
      <c r="D407" s="97">
        <f t="shared" si="31"/>
        <v>33</v>
      </c>
      <c r="E407" s="97">
        <f t="shared" si="32"/>
        <v>0</v>
      </c>
      <c r="F407" s="97">
        <f t="shared" si="33"/>
        <v>-39600000</v>
      </c>
      <c r="G407" s="97"/>
      <c r="O407" t="s">
        <v>25</v>
      </c>
    </row>
    <row r="408" spans="1:15">
      <c r="A408" s="97" t="s">
        <v>5449</v>
      </c>
      <c r="B408" s="111">
        <v>-784</v>
      </c>
      <c r="C408" s="97">
        <v>1</v>
      </c>
      <c r="D408" s="97">
        <f t="shared" si="31"/>
        <v>33</v>
      </c>
      <c r="E408" s="97">
        <f t="shared" si="32"/>
        <v>0</v>
      </c>
      <c r="F408" s="97">
        <f t="shared" si="33"/>
        <v>-25872</v>
      </c>
      <c r="G408" s="97" t="s">
        <v>5469</v>
      </c>
    </row>
    <row r="409" spans="1:15">
      <c r="A409" s="97" t="s">
        <v>5504</v>
      </c>
      <c r="B409" s="111">
        <v>-37927</v>
      </c>
      <c r="C409" s="97">
        <v>30</v>
      </c>
      <c r="D409" s="97">
        <f t="shared" si="31"/>
        <v>32</v>
      </c>
      <c r="E409" s="97">
        <f t="shared" si="32"/>
        <v>1</v>
      </c>
      <c r="F409" s="97">
        <f t="shared" si="33"/>
        <v>-1175737</v>
      </c>
      <c r="G409" s="97"/>
    </row>
    <row r="410" spans="1:15">
      <c r="A410" s="97" t="s">
        <v>5506</v>
      </c>
      <c r="B410" s="111">
        <v>5000000</v>
      </c>
      <c r="C410" s="97">
        <v>0</v>
      </c>
      <c r="D410" s="97">
        <f t="shared" si="31"/>
        <v>2</v>
      </c>
      <c r="E410" s="97">
        <f t="shared" si="32"/>
        <v>0</v>
      </c>
      <c r="F410" s="97">
        <f t="shared" si="33"/>
        <v>10000000</v>
      </c>
      <c r="G410" s="97"/>
    </row>
    <row r="411" spans="1:15">
      <c r="A411" s="97" t="s">
        <v>5506</v>
      </c>
      <c r="B411" s="111">
        <v>-1620700</v>
      </c>
      <c r="C411" s="97">
        <v>1</v>
      </c>
      <c r="D411" s="97">
        <f t="shared" si="31"/>
        <v>2</v>
      </c>
      <c r="E411" s="97">
        <f t="shared" si="32"/>
        <v>1</v>
      </c>
      <c r="F411" s="97">
        <f t="shared" si="33"/>
        <v>-1620700</v>
      </c>
      <c r="G411" s="97"/>
    </row>
    <row r="412" spans="1:15">
      <c r="A412" s="97" t="s">
        <v>5508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N19" sqref="N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5795</v>
      </c>
      <c r="O19" t="s">
        <v>5794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6507</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5016</v>
      </c>
      <c r="L33" t="s">
        <v>5017</v>
      </c>
      <c r="M33" t="s">
        <v>5018</v>
      </c>
      <c r="N33" t="s">
        <v>5019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5021</v>
      </c>
      <c r="M34" t="s">
        <v>5022</v>
      </c>
      <c r="N34" t="s">
        <v>5020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4"/>
  <sheetViews>
    <sheetView topLeftCell="O153" zoomScale="80" zoomScaleNormal="80" workbookViewId="0">
      <selection activeCell="S167" sqref="S16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S116</f>
        <v>956</v>
      </c>
      <c r="T20" s="166" t="s">
        <v>4283</v>
      </c>
      <c r="U20" s="166">
        <v>192.1</v>
      </c>
      <c r="V20" s="166">
        <f t="shared" ref="V20:V51" si="6">U20*(1+$R$112+$Q$15*S20/36500)</f>
        <v>335.90027068493151</v>
      </c>
      <c r="W20" s="32">
        <f t="shared" ref="W20:W26" si="7">V20*(1+$W$19/100)</f>
        <v>342.61827609863013</v>
      </c>
      <c r="X20" s="32">
        <f t="shared" ref="X20:X26" si="8">V20*(1+$X$19/100)</f>
        <v>349.33628151232881</v>
      </c>
      <c r="Y20" s="113">
        <v>48028</v>
      </c>
      <c r="Z20" s="113"/>
      <c r="AH20" s="97">
        <v>1</v>
      </c>
      <c r="AI20" s="111" t="s">
        <v>1092</v>
      </c>
      <c r="AJ20" s="111">
        <v>18000000</v>
      </c>
      <c r="AK20" s="97">
        <v>1</v>
      </c>
      <c r="AL20" s="97">
        <f>AL21+AK20</f>
        <v>1025</v>
      </c>
      <c r="AM20" s="111">
        <f>AJ20*AL20</f>
        <v>18450000000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4566245436.9703608</v>
      </c>
      <c r="M21" s="166" t="s">
        <v>4275</v>
      </c>
      <c r="N21" s="111">
        <f>O21*P21</f>
        <v>2508896760</v>
      </c>
      <c r="O21" s="97">
        <v>2602590</v>
      </c>
      <c r="P21" s="183">
        <f>P50</f>
        <v>964</v>
      </c>
      <c r="Q21" s="167">
        <v>1353959</v>
      </c>
      <c r="R21" s="166" t="s">
        <v>4391</v>
      </c>
      <c r="S21" s="195">
        <f>S20-59</f>
        <v>897</v>
      </c>
      <c r="T21" s="19" t="s">
        <v>4427</v>
      </c>
      <c r="U21" s="166">
        <v>192.2</v>
      </c>
      <c r="V21" s="166">
        <f t="shared" si="6"/>
        <v>327.37610301369858</v>
      </c>
      <c r="W21" s="32">
        <f t="shared" si="7"/>
        <v>333.92362507397257</v>
      </c>
      <c r="X21" s="32">
        <f t="shared" si="8"/>
        <v>340.47114713424656</v>
      </c>
      <c r="Y21" s="113">
        <v>7012</v>
      </c>
      <c r="Z21" s="113"/>
      <c r="AH21" s="97">
        <v>2</v>
      </c>
      <c r="AI21" s="111" t="s">
        <v>1094</v>
      </c>
      <c r="AJ21" s="111">
        <v>2500000</v>
      </c>
      <c r="AK21" s="97">
        <v>1</v>
      </c>
      <c r="AL21" s="97">
        <f t="shared" ref="AL21:AL63" si="9">AL22+AK21</f>
        <v>1024</v>
      </c>
      <c r="AM21" s="111">
        <f t="shared" ref="AM21:AM120" si="10">AJ21*AL21</f>
        <v>2560000000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5280</v>
      </c>
      <c r="N22" s="111">
        <f>O22*P22</f>
        <v>453870</v>
      </c>
      <c r="O22" s="97">
        <v>369</v>
      </c>
      <c r="P22" s="183">
        <f>P53</f>
        <v>1230</v>
      </c>
      <c r="Q22" s="167">
        <v>1614398</v>
      </c>
      <c r="R22" s="166" t="s">
        <v>4397</v>
      </c>
      <c r="S22" s="166">
        <f>S21-3</f>
        <v>894</v>
      </c>
      <c r="T22" s="19" t="s">
        <v>5621</v>
      </c>
      <c r="U22" s="166">
        <v>184.6</v>
      </c>
      <c r="V22" s="166">
        <f t="shared" si="6"/>
        <v>314.00611726027398</v>
      </c>
      <c r="W22" s="32">
        <f t="shared" si="7"/>
        <v>320.28623960547947</v>
      </c>
      <c r="X22" s="32">
        <f t="shared" si="8"/>
        <v>326.56636195068495</v>
      </c>
      <c r="Y22" s="113">
        <v>8705</v>
      </c>
      <c r="Z22" s="113"/>
      <c r="AH22" s="97">
        <v>3</v>
      </c>
      <c r="AI22" s="111" t="s">
        <v>1103</v>
      </c>
      <c r="AJ22" s="111">
        <v>8000000</v>
      </c>
      <c r="AK22" s="97">
        <v>1</v>
      </c>
      <c r="AL22" s="97">
        <f t="shared" si="9"/>
        <v>1023</v>
      </c>
      <c r="AM22" s="111">
        <f t="shared" si="10"/>
        <v>8184000000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5924</v>
      </c>
      <c r="N23" s="111">
        <f>O23*P23</f>
        <v>61034820</v>
      </c>
      <c r="O23" s="97">
        <v>33628</v>
      </c>
      <c r="P23" s="183">
        <f>P51</f>
        <v>1815</v>
      </c>
      <c r="Q23" s="167">
        <v>133576</v>
      </c>
      <c r="R23" s="166" t="s">
        <v>4464</v>
      </c>
      <c r="S23" s="194">
        <f>S22-22</f>
        <v>872</v>
      </c>
      <c r="T23" s="166" t="s">
        <v>4465</v>
      </c>
      <c r="U23" s="166">
        <v>166.2</v>
      </c>
      <c r="V23" s="166">
        <f t="shared" si="6"/>
        <v>279.90265643835619</v>
      </c>
      <c r="W23" s="32">
        <f t="shared" si="7"/>
        <v>285.50070956712329</v>
      </c>
      <c r="X23" s="32">
        <f t="shared" si="8"/>
        <v>291.09876269589046</v>
      </c>
      <c r="Y23" s="120">
        <v>800</v>
      </c>
      <c r="Z23" s="94"/>
      <c r="AH23" s="97">
        <v>4</v>
      </c>
      <c r="AI23" s="111" t="s">
        <v>4038</v>
      </c>
      <c r="AJ23" s="111">
        <v>-79552</v>
      </c>
      <c r="AK23" s="97">
        <v>1</v>
      </c>
      <c r="AL23" s="97">
        <f t="shared" si="9"/>
        <v>1022</v>
      </c>
      <c r="AM23" s="111">
        <f t="shared" si="10"/>
        <v>-81302144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L66</f>
        <v>4466347394.9703608</v>
      </c>
      <c r="G24" s="93">
        <f t="shared" si="0"/>
        <v>-4186041049.5884223</v>
      </c>
      <c r="H24" s="11"/>
      <c r="I24" s="94"/>
      <c r="J24" s="94"/>
      <c r="K24" s="207"/>
      <c r="L24" s="115"/>
      <c r="M24" s="207" t="s">
        <v>4357</v>
      </c>
      <c r="N24" s="111">
        <f>O24*P24</f>
        <v>35597500</v>
      </c>
      <c r="O24" s="97">
        <v>2455</v>
      </c>
      <c r="P24" s="183">
        <f>P48</f>
        <v>14500</v>
      </c>
      <c r="Q24" s="167">
        <v>220803</v>
      </c>
      <c r="R24" s="166" t="s">
        <v>4207</v>
      </c>
      <c r="S24" s="194">
        <f>S23-1</f>
        <v>871</v>
      </c>
      <c r="T24" s="166" t="s">
        <v>4471</v>
      </c>
      <c r="U24" s="166">
        <v>166</v>
      </c>
      <c r="V24" s="166">
        <f t="shared" si="6"/>
        <v>279.43848767123291</v>
      </c>
      <c r="W24" s="32">
        <f t="shared" si="7"/>
        <v>285.02725742465759</v>
      </c>
      <c r="X24" s="32">
        <f t="shared" si="8"/>
        <v>290.61602717808222</v>
      </c>
      <c r="Y24" s="120">
        <v>1326</v>
      </c>
      <c r="Z24" s="94"/>
      <c r="AH24" s="97">
        <v>5</v>
      </c>
      <c r="AI24" s="111" t="s">
        <v>1115</v>
      </c>
      <c r="AJ24" s="111">
        <v>165500</v>
      </c>
      <c r="AK24" s="97">
        <v>12</v>
      </c>
      <c r="AL24" s="97">
        <f t="shared" si="9"/>
        <v>1021</v>
      </c>
      <c r="AM24" s="111">
        <f t="shared" si="10"/>
        <v>168975500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5891</v>
      </c>
      <c r="N25" s="111">
        <f>O25*P25</f>
        <v>0</v>
      </c>
      <c r="O25" s="97">
        <v>0</v>
      </c>
      <c r="P25" s="183">
        <f>P52</f>
        <v>6800</v>
      </c>
      <c r="Q25" s="167">
        <v>1023940</v>
      </c>
      <c r="R25" s="166" t="s">
        <v>4472</v>
      </c>
      <c r="S25" s="194">
        <f>S24-2</f>
        <v>869</v>
      </c>
      <c r="T25" s="166" t="s">
        <v>4478</v>
      </c>
      <c r="U25" s="166">
        <v>160.19999999999999</v>
      </c>
      <c r="V25" s="166">
        <f t="shared" si="6"/>
        <v>269.42918794520551</v>
      </c>
      <c r="W25" s="32">
        <f t="shared" si="7"/>
        <v>274.81777170410965</v>
      </c>
      <c r="X25" s="32">
        <f t="shared" si="8"/>
        <v>280.20635546301372</v>
      </c>
      <c r="Y25" s="120">
        <v>6362</v>
      </c>
      <c r="Z25" s="94" t="s">
        <v>25</v>
      </c>
      <c r="AH25" s="97">
        <v>6</v>
      </c>
      <c r="AI25" s="111" t="s">
        <v>1140</v>
      </c>
      <c r="AJ25" s="111">
        <v>-28830327</v>
      </c>
      <c r="AK25" s="97">
        <v>6</v>
      </c>
      <c r="AL25" s="97">
        <f t="shared" si="9"/>
        <v>1009</v>
      </c>
      <c r="AM25" s="111">
        <f t="shared" si="10"/>
        <v>-29089799943</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5935</v>
      </c>
      <c r="L26" s="115">
        <f>-'فروردین 98'!D168</f>
        <v>-57175686</v>
      </c>
      <c r="M26" s="166"/>
      <c r="N26" s="111"/>
      <c r="O26" s="67"/>
      <c r="P26" s="97"/>
      <c r="Q26" s="167">
        <v>168846</v>
      </c>
      <c r="R26" s="166" t="s">
        <v>3675</v>
      </c>
      <c r="S26" s="194">
        <f>S25-28</f>
        <v>841</v>
      </c>
      <c r="T26" s="166" t="s">
        <v>4552</v>
      </c>
      <c r="U26" s="166">
        <v>172.2</v>
      </c>
      <c r="V26" s="166">
        <f t="shared" si="6"/>
        <v>285.91238794520547</v>
      </c>
      <c r="W26" s="32">
        <f t="shared" si="7"/>
        <v>291.63063570410958</v>
      </c>
      <c r="X26" s="32">
        <f t="shared" si="8"/>
        <v>297.34888346301369</v>
      </c>
      <c r="Y26" s="120">
        <v>976</v>
      </c>
      <c r="Z26" s="94"/>
      <c r="AH26" s="97">
        <v>7</v>
      </c>
      <c r="AI26" s="111" t="s">
        <v>1165</v>
      </c>
      <c r="AJ26" s="111">
        <v>18500000</v>
      </c>
      <c r="AK26" s="97">
        <v>1</v>
      </c>
      <c r="AL26" s="97">
        <f t="shared" si="9"/>
        <v>1003</v>
      </c>
      <c r="AM26" s="111">
        <f t="shared" si="10"/>
        <v>18555500000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808</v>
      </c>
      <c r="T27" s="207" t="s">
        <v>4649</v>
      </c>
      <c r="U27" s="207">
        <v>168.8</v>
      </c>
      <c r="V27" s="207">
        <f t="shared" si="6"/>
        <v>275.99401205479455</v>
      </c>
      <c r="W27" s="32">
        <f t="shared" ref="W27:W30" si="12">V27*(1+$W$19/100)</f>
        <v>281.51389229589046</v>
      </c>
      <c r="X27" s="32">
        <f t="shared" ref="X27:X30" si="13">V27*(1+$X$19/100)</f>
        <v>287.03377253698636</v>
      </c>
      <c r="Y27" s="120">
        <v>9222</v>
      </c>
      <c r="Z27" s="94"/>
      <c r="AH27" s="97">
        <v>8</v>
      </c>
      <c r="AI27" s="111" t="s">
        <v>1174</v>
      </c>
      <c r="AJ27" s="111">
        <v>-18550000</v>
      </c>
      <c r="AK27" s="97">
        <v>1</v>
      </c>
      <c r="AL27" s="97">
        <f t="shared" si="9"/>
        <v>1002</v>
      </c>
      <c r="AM27" s="111">
        <f t="shared" si="10"/>
        <v>-18587100000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5280</v>
      </c>
      <c r="N28" s="111">
        <f>O28*P28</f>
        <v>32608040</v>
      </c>
      <c r="O28" s="67">
        <v>26860</v>
      </c>
      <c r="P28" s="97">
        <v>1214</v>
      </c>
      <c r="Q28" s="167">
        <v>1204691</v>
      </c>
      <c r="R28" s="207" t="s">
        <v>4860</v>
      </c>
      <c r="S28" s="194">
        <f>S27-76</f>
        <v>732</v>
      </c>
      <c r="T28" s="207" t="s">
        <v>4861</v>
      </c>
      <c r="U28" s="207">
        <v>218.5</v>
      </c>
      <c r="V28" s="207">
        <f t="shared" si="6"/>
        <v>344.51643287671232</v>
      </c>
      <c r="W28" s="32">
        <f t="shared" si="12"/>
        <v>351.40676153424658</v>
      </c>
      <c r="X28" s="32">
        <f t="shared" si="13"/>
        <v>358.2970901917808</v>
      </c>
      <c r="Y28" s="120">
        <v>5488</v>
      </c>
      <c r="Z28" s="94"/>
      <c r="AH28" s="97">
        <v>9</v>
      </c>
      <c r="AI28" s="111" t="s">
        <v>1181</v>
      </c>
      <c r="AJ28" s="111">
        <v>-64961</v>
      </c>
      <c r="AK28" s="97">
        <v>5</v>
      </c>
      <c r="AL28" s="97">
        <f t="shared" si="9"/>
        <v>1001</v>
      </c>
      <c r="AM28" s="111">
        <f t="shared" si="10"/>
        <v>-65025961</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5924</v>
      </c>
      <c r="N29" s="111">
        <f>O29*P29</f>
        <v>19344416</v>
      </c>
      <c r="O29" s="67">
        <v>10192</v>
      </c>
      <c r="P29" s="97">
        <v>1898</v>
      </c>
      <c r="Q29" s="167">
        <v>15011877</v>
      </c>
      <c r="R29" s="207" t="s">
        <v>4863</v>
      </c>
      <c r="S29" s="194">
        <f>S28-3</f>
        <v>729</v>
      </c>
      <c r="T29" s="207" t="s">
        <v>4867</v>
      </c>
      <c r="U29" s="207">
        <v>197.1</v>
      </c>
      <c r="V29" s="207">
        <f t="shared" si="6"/>
        <v>310.32071999999999</v>
      </c>
      <c r="W29" s="32">
        <f t="shared" si="12"/>
        <v>316.52713440000002</v>
      </c>
      <c r="X29" s="32">
        <f t="shared" si="13"/>
        <v>322.73354879999999</v>
      </c>
      <c r="Y29" s="120">
        <v>75812</v>
      </c>
      <c r="Z29" s="94"/>
      <c r="AH29" s="97">
        <v>10</v>
      </c>
      <c r="AI29" s="111" t="s">
        <v>1197</v>
      </c>
      <c r="AJ29" s="111">
        <v>6400000</v>
      </c>
      <c r="AK29" s="97">
        <v>1</v>
      </c>
      <c r="AL29" s="97">
        <f t="shared" si="9"/>
        <v>996</v>
      </c>
      <c r="AM29" s="111">
        <f t="shared" si="10"/>
        <v>6374400000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P48</f>
        <v>14500</v>
      </c>
      <c r="Q30" s="167">
        <v>7046042.5001907032</v>
      </c>
      <c r="R30" s="207" t="s">
        <v>4874</v>
      </c>
      <c r="S30" s="194">
        <f>S29-5</f>
        <v>724</v>
      </c>
      <c r="T30" s="207" t="s">
        <v>5586</v>
      </c>
      <c r="U30" s="207">
        <v>194.4</v>
      </c>
      <c r="V30" s="207">
        <f t="shared" si="6"/>
        <v>305.32410739726032</v>
      </c>
      <c r="W30" s="32">
        <f t="shared" si="12"/>
        <v>311.43058954520552</v>
      </c>
      <c r="X30" s="32">
        <f t="shared" si="13"/>
        <v>317.53707169315072</v>
      </c>
      <c r="Y30" s="120">
        <v>36073</v>
      </c>
      <c r="Z30" s="94"/>
      <c r="AH30" s="97">
        <v>11</v>
      </c>
      <c r="AI30" s="111" t="s">
        <v>4039</v>
      </c>
      <c r="AJ30" s="111">
        <v>-170000</v>
      </c>
      <c r="AK30" s="97">
        <v>5</v>
      </c>
      <c r="AL30" s="97">
        <f t="shared" si="9"/>
        <v>995</v>
      </c>
      <c r="AM30" s="111">
        <f t="shared" si="10"/>
        <v>-169150000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298248104</v>
      </c>
      <c r="O31" s="67">
        <v>309386</v>
      </c>
      <c r="P31" s="97">
        <f>P50</f>
        <v>964</v>
      </c>
      <c r="Q31" s="167">
        <v>5368238</v>
      </c>
      <c r="R31" s="207" t="s">
        <v>5593</v>
      </c>
      <c r="S31" s="194">
        <f>S30-465</f>
        <v>259</v>
      </c>
      <c r="T31" s="207" t="s">
        <v>5594</v>
      </c>
      <c r="U31" s="207">
        <v>1843</v>
      </c>
      <c r="V31" s="207">
        <f t="shared" si="6"/>
        <v>2237.1899287671235</v>
      </c>
      <c r="W31" s="32">
        <f t="shared" ref="W31:W34" si="14">V31*(1+$W$19/100)</f>
        <v>2281.9337273424662</v>
      </c>
      <c r="X31" s="32">
        <f t="shared" ref="X31:X34" si="15">V31*(1+$X$19/100)</f>
        <v>2326.6775259178085</v>
      </c>
      <c r="Y31">
        <v>2902</v>
      </c>
      <c r="AA31" s="94"/>
      <c r="AH31" s="97">
        <v>12</v>
      </c>
      <c r="AI31" s="111" t="s">
        <v>1217</v>
      </c>
      <c r="AJ31" s="111">
        <v>-6300000</v>
      </c>
      <c r="AK31" s="97">
        <v>1</v>
      </c>
      <c r="AL31" s="97">
        <f>AL32+AK31</f>
        <v>990</v>
      </c>
      <c r="AM31" s="111">
        <f t="shared" si="10"/>
        <v>-6237000000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5595</v>
      </c>
      <c r="S32" s="194">
        <f>S31-3</f>
        <v>256</v>
      </c>
      <c r="T32" s="207" t="s">
        <v>5596</v>
      </c>
      <c r="U32" s="207">
        <v>1751</v>
      </c>
      <c r="V32" s="207">
        <f t="shared" si="6"/>
        <v>2121.4828164383562</v>
      </c>
      <c r="W32" s="32">
        <f t="shared" si="14"/>
        <v>2163.9124727671233</v>
      </c>
      <c r="X32" s="32">
        <f t="shared" si="15"/>
        <v>2206.3421290958904</v>
      </c>
      <c r="Y32">
        <v>22871</v>
      </c>
      <c r="AH32" s="97">
        <v>13</v>
      </c>
      <c r="AI32" s="111" t="s">
        <v>1226</v>
      </c>
      <c r="AJ32" s="111">
        <v>-52015</v>
      </c>
      <c r="AK32" s="97">
        <v>16</v>
      </c>
      <c r="AL32" s="97">
        <f t="shared" si="9"/>
        <v>989</v>
      </c>
      <c r="AM32" s="111">
        <f t="shared" si="10"/>
        <v>-51442835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فیزیکی'!M48*10*P54</f>
        <v>0</v>
      </c>
      <c r="M33" s="166" t="s">
        <v>749</v>
      </c>
      <c r="N33" s="111">
        <v>3000000</v>
      </c>
      <c r="P33" t="s">
        <v>25</v>
      </c>
      <c r="Q33" s="167">
        <v>16176504</v>
      </c>
      <c r="R33" s="207" t="s">
        <v>5597</v>
      </c>
      <c r="S33" s="194">
        <f>S32-1</f>
        <v>255</v>
      </c>
      <c r="T33" s="207" t="s">
        <v>5598</v>
      </c>
      <c r="U33" s="207">
        <v>1730</v>
      </c>
      <c r="V33" s="207">
        <f t="shared" si="6"/>
        <v>2094.712438356165</v>
      </c>
      <c r="W33" s="32">
        <f t="shared" si="14"/>
        <v>2136.6066871232883</v>
      </c>
      <c r="X33" s="32">
        <f t="shared" si="15"/>
        <v>2178.5009358904117</v>
      </c>
      <c r="Y33">
        <v>9316</v>
      </c>
      <c r="Z33" t="s">
        <v>25</v>
      </c>
      <c r="AA33" s="94"/>
      <c r="AH33" s="97">
        <v>14</v>
      </c>
      <c r="AI33" s="111" t="s">
        <v>3692</v>
      </c>
      <c r="AJ33" s="111">
        <v>20017400</v>
      </c>
      <c r="AK33" s="97">
        <v>0</v>
      </c>
      <c r="AL33" s="97">
        <f t="shared" si="9"/>
        <v>973</v>
      </c>
      <c r="AM33" s="111">
        <f t="shared" si="10"/>
        <v>19476930200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4925</v>
      </c>
      <c r="L34" s="115">
        <v>-47500000</v>
      </c>
      <c r="M34" s="166" t="s">
        <v>4131</v>
      </c>
      <c r="N34" s="111">
        <f>-W168</f>
        <v>-4566245436.9703608</v>
      </c>
      <c r="P34" t="s">
        <v>25</v>
      </c>
      <c r="Q34" s="167">
        <v>47880291</v>
      </c>
      <c r="R34" s="207" t="s">
        <v>5604</v>
      </c>
      <c r="S34" s="194">
        <f>S33-8</f>
        <v>247</v>
      </c>
      <c r="T34" s="207" t="s">
        <v>5608</v>
      </c>
      <c r="U34" s="207">
        <v>1737.1</v>
      </c>
      <c r="V34" s="207">
        <f t="shared" si="6"/>
        <v>2092.6486761643837</v>
      </c>
      <c r="W34" s="32">
        <f t="shared" si="14"/>
        <v>2134.5016496876715</v>
      </c>
      <c r="X34" s="32">
        <f t="shared" si="15"/>
        <v>2176.3546232109593</v>
      </c>
      <c r="Y34">
        <v>27461</v>
      </c>
      <c r="AA34" s="94"/>
      <c r="AH34" s="97">
        <v>15</v>
      </c>
      <c r="AI34" s="111" t="s">
        <v>3692</v>
      </c>
      <c r="AJ34" s="111">
        <v>1014466</v>
      </c>
      <c r="AK34" s="97">
        <v>12</v>
      </c>
      <c r="AL34" s="97">
        <f t="shared" si="9"/>
        <v>973</v>
      </c>
      <c r="AM34" s="111">
        <f t="shared" si="10"/>
        <v>987075418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5607</v>
      </c>
      <c r="S35" s="194">
        <f>S34-1</f>
        <v>246</v>
      </c>
      <c r="T35" s="207" t="s">
        <v>5611</v>
      </c>
      <c r="U35" s="207">
        <v>1730.1</v>
      </c>
      <c r="V35" s="207">
        <f t="shared" si="6"/>
        <v>2082.8887199999999</v>
      </c>
      <c r="W35" s="32">
        <f t="shared" ref="W35:W36" si="16">V35*(1+$W$19/100)</f>
        <v>2124.5464944</v>
      </c>
      <c r="X35" s="32">
        <f t="shared" ref="X35:X36" si="17">V35*(1+$X$19/100)</f>
        <v>2166.2042688000001</v>
      </c>
      <c r="Y35">
        <v>28136</v>
      </c>
      <c r="Z35" t="s">
        <v>25</v>
      </c>
      <c r="AA35" s="94" t="s">
        <v>25</v>
      </c>
      <c r="AH35" s="97">
        <v>16</v>
      </c>
      <c r="AI35" s="111" t="s">
        <v>1128</v>
      </c>
      <c r="AJ35" s="111">
        <v>360000</v>
      </c>
      <c r="AK35" s="97">
        <v>2</v>
      </c>
      <c r="AL35" s="97">
        <f t="shared" si="9"/>
        <v>961</v>
      </c>
      <c r="AM35" s="111">
        <f t="shared" si="10"/>
        <v>345960000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f>O23+1438</f>
        <v>35066</v>
      </c>
      <c r="P36" t="s">
        <v>25</v>
      </c>
      <c r="Q36" s="167">
        <v>38191823</v>
      </c>
      <c r="R36" s="207" t="s">
        <v>5609</v>
      </c>
      <c r="S36" s="194">
        <f>S35-1</f>
        <v>245</v>
      </c>
      <c r="T36" s="207" t="s">
        <v>5610</v>
      </c>
      <c r="U36" s="207">
        <v>1646</v>
      </c>
      <c r="V36" s="207">
        <f t="shared" si="6"/>
        <v>1980.3770082191784</v>
      </c>
      <c r="W36" s="32">
        <f t="shared" si="16"/>
        <v>2019.984548383562</v>
      </c>
      <c r="X36" s="32">
        <f t="shared" si="17"/>
        <v>2059.5920885479454</v>
      </c>
      <c r="Y36">
        <v>23117</v>
      </c>
      <c r="AA36" s="94"/>
      <c r="AH36" s="97">
        <v>17</v>
      </c>
      <c r="AI36" s="111" t="s">
        <v>3752</v>
      </c>
      <c r="AJ36" s="111">
        <v>-350000</v>
      </c>
      <c r="AK36" s="97">
        <v>0</v>
      </c>
      <c r="AL36" s="97">
        <f t="shared" si="9"/>
        <v>959</v>
      </c>
      <c r="AM36" s="111">
        <f t="shared" si="10"/>
        <v>-335650000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P37" t="s">
        <v>25</v>
      </c>
      <c r="Q37" s="167">
        <v>70173463</v>
      </c>
      <c r="R37" s="207" t="s">
        <v>5612</v>
      </c>
      <c r="S37" s="194">
        <f>S36-3</f>
        <v>242</v>
      </c>
      <c r="T37" s="207" t="s">
        <v>5616</v>
      </c>
      <c r="U37" s="207">
        <v>1674.7</v>
      </c>
      <c r="V37" s="207">
        <f t="shared" si="6"/>
        <v>2011.0531715068494</v>
      </c>
      <c r="W37" s="32">
        <f t="shared" ref="W37:W40" si="18">V37*(1+$W$19/100)</f>
        <v>2051.2742349369864</v>
      </c>
      <c r="X37" s="32">
        <f t="shared" ref="X37:X40" si="19">V37*(1+$X$19/100)</f>
        <v>2091.4952983671233</v>
      </c>
      <c r="Y37">
        <v>41747</v>
      </c>
      <c r="Z37" t="s">
        <v>25</v>
      </c>
      <c r="AA37" s="94"/>
      <c r="AH37" s="97">
        <v>18</v>
      </c>
      <c r="AI37" s="111" t="s">
        <v>3752</v>
      </c>
      <c r="AJ37" s="111">
        <v>1000</v>
      </c>
      <c r="AK37" s="97">
        <v>1</v>
      </c>
      <c r="AL37" s="97">
        <f t="shared" si="9"/>
        <v>959</v>
      </c>
      <c r="AM37" s="111">
        <f t="shared" si="10"/>
        <v>959000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5614</v>
      </c>
      <c r="S38" s="194">
        <f>S37-2</f>
        <v>240</v>
      </c>
      <c r="T38" s="207" t="s">
        <v>5615</v>
      </c>
      <c r="U38" s="207">
        <v>1663</v>
      </c>
      <c r="V38" s="207">
        <f t="shared" si="6"/>
        <v>1994.4518465753429</v>
      </c>
      <c r="W38" s="32">
        <f t="shared" si="18"/>
        <v>2034.3408835068497</v>
      </c>
      <c r="X38" s="32">
        <f t="shared" si="19"/>
        <v>2074.2299204383567</v>
      </c>
      <c r="Y38">
        <v>13949</v>
      </c>
      <c r="Z38" t="s">
        <v>25</v>
      </c>
      <c r="AA38" s="94"/>
      <c r="AH38" s="97">
        <v>19</v>
      </c>
      <c r="AI38" s="111" t="s">
        <v>3756</v>
      </c>
      <c r="AJ38" s="111">
        <v>33610000</v>
      </c>
      <c r="AK38" s="97">
        <v>4</v>
      </c>
      <c r="AL38" s="97">
        <f t="shared" si="9"/>
        <v>958</v>
      </c>
      <c r="AM38" s="111">
        <f t="shared" si="10"/>
        <v>32198380000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5344</v>
      </c>
      <c r="N39" s="111">
        <v>-14000000</v>
      </c>
      <c r="O39" t="s">
        <v>25</v>
      </c>
      <c r="P39" t="s">
        <v>25</v>
      </c>
      <c r="Q39" s="167">
        <v>1611237.824</v>
      </c>
      <c r="R39" s="207" t="s">
        <v>5617</v>
      </c>
      <c r="S39" s="194">
        <f>S38-1</f>
        <v>239</v>
      </c>
      <c r="T39" s="207" t="s">
        <v>5622</v>
      </c>
      <c r="U39" s="207">
        <v>1580</v>
      </c>
      <c r="V39" s="207">
        <f t="shared" si="6"/>
        <v>1893.697095890411</v>
      </c>
      <c r="W39" s="32">
        <f t="shared" si="18"/>
        <v>1931.5710378082192</v>
      </c>
      <c r="X39" s="32">
        <f t="shared" si="19"/>
        <v>1969.4449797260274</v>
      </c>
      <c r="Y39">
        <v>1016</v>
      </c>
      <c r="AA39" s="94" t="s">
        <v>25</v>
      </c>
      <c r="AB39" s="94"/>
      <c r="AC39" s="94"/>
      <c r="AD39" s="94"/>
      <c r="AH39" s="97">
        <v>20</v>
      </c>
      <c r="AI39" s="111" t="s">
        <v>4040</v>
      </c>
      <c r="AJ39" s="111">
        <v>-15600000</v>
      </c>
      <c r="AK39" s="97">
        <v>3</v>
      </c>
      <c r="AL39" s="97">
        <f t="shared" si="9"/>
        <v>954</v>
      </c>
      <c r="AM39" s="111">
        <f t="shared" si="10"/>
        <v>-14882400000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4924</v>
      </c>
      <c r="N40" s="111">
        <v>-47000000</v>
      </c>
      <c r="O40" s="279"/>
      <c r="P40" s="94" t="s">
        <v>25</v>
      </c>
      <c r="Q40" s="167">
        <v>563902380</v>
      </c>
      <c r="R40" s="207" t="s">
        <v>5624</v>
      </c>
      <c r="S40" s="194">
        <f>S39-5</f>
        <v>234</v>
      </c>
      <c r="T40" s="207" t="s">
        <v>5626</v>
      </c>
      <c r="U40" s="207">
        <v>1560.1</v>
      </c>
      <c r="V40" s="207">
        <f t="shared" si="6"/>
        <v>1863.8621556164383</v>
      </c>
      <c r="W40" s="32">
        <f t="shared" si="18"/>
        <v>1901.139398728767</v>
      </c>
      <c r="X40" s="32">
        <f t="shared" si="19"/>
        <v>1938.416641841096</v>
      </c>
      <c r="Y40">
        <v>360127</v>
      </c>
      <c r="Z40" s="113"/>
      <c r="AB40" s="94"/>
      <c r="AC40" s="94"/>
      <c r="AD40" s="94"/>
      <c r="AH40" s="97">
        <v>21</v>
      </c>
      <c r="AI40" s="111" t="s">
        <v>3770</v>
      </c>
      <c r="AJ40" s="111">
        <v>7500000</v>
      </c>
      <c r="AK40" s="97">
        <v>4</v>
      </c>
      <c r="AL40" s="97">
        <f t="shared" si="9"/>
        <v>951</v>
      </c>
      <c r="AM40" s="111">
        <f t="shared" si="10"/>
        <v>7132500000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6477</v>
      </c>
      <c r="L41" s="115">
        <f>-13649*P50</f>
        <v>-13157636</v>
      </c>
      <c r="M41" s="166"/>
      <c r="N41" s="111"/>
      <c r="O41" s="112"/>
      <c r="P41" s="94"/>
      <c r="Q41" s="167">
        <v>814638349</v>
      </c>
      <c r="R41" s="207" t="s">
        <v>5631</v>
      </c>
      <c r="S41" s="194">
        <f>S40-8</f>
        <v>226</v>
      </c>
      <c r="T41" s="207" t="s">
        <v>5632</v>
      </c>
      <c r="U41" s="207">
        <v>1667</v>
      </c>
      <c r="V41" s="207">
        <f t="shared" si="6"/>
        <v>1981.3459616438358</v>
      </c>
      <c r="W41" s="32">
        <f t="shared" ref="W41:W42" si="20">V41*(1+$W$19/100)</f>
        <v>2020.9728808767127</v>
      </c>
      <c r="X41" s="32">
        <f t="shared" ref="X41:X42" si="21">V41*(1+$X$19/100)</f>
        <v>2060.5998001095895</v>
      </c>
      <c r="Y41">
        <v>486878</v>
      </c>
      <c r="Z41" s="113"/>
      <c r="AB41" s="94"/>
      <c r="AC41" s="94"/>
      <c r="AD41" s="94"/>
      <c r="AH41" s="97">
        <v>22</v>
      </c>
      <c r="AI41" s="111" t="s">
        <v>4041</v>
      </c>
      <c r="AJ41" s="111">
        <v>-98000</v>
      </c>
      <c r="AK41" s="97">
        <v>1</v>
      </c>
      <c r="AL41" s="97">
        <f t="shared" si="9"/>
        <v>947</v>
      </c>
      <c r="AM41" s="111">
        <f t="shared" si="10"/>
        <v>-92806000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6485</v>
      </c>
      <c r="L42" s="115">
        <f>(548)*P50</f>
        <v>528272</v>
      </c>
      <c r="M42" s="166" t="s">
        <v>4417</v>
      </c>
      <c r="N42" s="111">
        <v>364600</v>
      </c>
      <c r="O42" s="112"/>
      <c r="P42" t="s">
        <v>25</v>
      </c>
      <c r="Q42" s="167">
        <v>2537951</v>
      </c>
      <c r="R42" s="207" t="s">
        <v>5646</v>
      </c>
      <c r="S42" s="194">
        <f>S41-5</f>
        <v>221</v>
      </c>
      <c r="T42" s="207" t="s">
        <v>5647</v>
      </c>
      <c r="U42" s="207">
        <v>1768.2</v>
      </c>
      <c r="V42" s="207">
        <f t="shared" si="6"/>
        <v>2094.8470947945207</v>
      </c>
      <c r="W42" s="32">
        <f t="shared" si="20"/>
        <v>2136.7440366904111</v>
      </c>
      <c r="X42" s="32">
        <f t="shared" si="21"/>
        <v>2178.6409785863016</v>
      </c>
      <c r="Y42">
        <v>1430</v>
      </c>
      <c r="Z42" s="113"/>
      <c r="AB42" s="113"/>
      <c r="AC42" s="113"/>
      <c r="AD42" s="113"/>
      <c r="AE42" s="113"/>
      <c r="AF42" s="113"/>
      <c r="AH42" s="97">
        <v>23</v>
      </c>
      <c r="AI42" s="111" t="s">
        <v>4035</v>
      </c>
      <c r="AJ42" s="111">
        <v>-26000000</v>
      </c>
      <c r="AK42" s="97">
        <v>0</v>
      </c>
      <c r="AL42" s="97">
        <f t="shared" si="9"/>
        <v>946</v>
      </c>
      <c r="AM42" s="111">
        <f t="shared" si="10"/>
        <v>-24596000000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f>L41+L42</f>
        <v>-12629364</v>
      </c>
      <c r="M43" s="166"/>
      <c r="N43" s="111"/>
      <c r="O43" s="97"/>
      <c r="P43" s="97"/>
      <c r="Q43" s="167">
        <v>2352469</v>
      </c>
      <c r="R43" s="207" t="s">
        <v>5652</v>
      </c>
      <c r="S43" s="194">
        <f>S42-2</f>
        <v>219</v>
      </c>
      <c r="T43" s="207" t="s">
        <v>5653</v>
      </c>
      <c r="U43" s="207">
        <v>15730</v>
      </c>
      <c r="V43" s="207">
        <f t="shared" si="6"/>
        <v>18611.736000000001</v>
      </c>
      <c r="W43" s="32">
        <f t="shared" ref="W43" si="22">V43*(1+$W$19/100)</f>
        <v>18983.970720000001</v>
      </c>
      <c r="X43" s="32">
        <f t="shared" ref="X43" si="23">V43*(1+$X$19/100)</f>
        <v>19356.205440000002</v>
      </c>
      <c r="Z43" s="120" t="s">
        <v>25</v>
      </c>
      <c r="AA43">
        <v>149</v>
      </c>
      <c r="AB43" s="113"/>
      <c r="AC43" s="113"/>
      <c r="AD43" s="113"/>
      <c r="AE43" s="113"/>
      <c r="AF43" s="113"/>
      <c r="AH43" s="97">
        <v>24</v>
      </c>
      <c r="AI43" s="111" t="s">
        <v>4035</v>
      </c>
      <c r="AJ43" s="111">
        <v>25000000</v>
      </c>
      <c r="AK43" s="97">
        <v>1</v>
      </c>
      <c r="AL43" s="97">
        <f t="shared" si="9"/>
        <v>946</v>
      </c>
      <c r="AM43" s="111">
        <f t="shared" si="10"/>
        <v>23650000000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6528</v>
      </c>
      <c r="N44" s="115">
        <f>O44*P44</f>
        <v>35071284</v>
      </c>
      <c r="O44" s="67">
        <v>36381</v>
      </c>
      <c r="P44" s="67">
        <f>P50</f>
        <v>964</v>
      </c>
      <c r="Q44" s="167"/>
      <c r="R44" s="207" t="s">
        <v>5656</v>
      </c>
      <c r="S44" s="194">
        <f>S43-1</f>
        <v>218</v>
      </c>
      <c r="T44" s="207" t="s">
        <v>5792</v>
      </c>
      <c r="U44" s="207">
        <v>16861.099999999999</v>
      </c>
      <c r="V44" s="207">
        <f t="shared" si="6"/>
        <v>19937.118977534246</v>
      </c>
      <c r="W44" s="32">
        <f t="shared" ref="W44:W46" si="24">V44*(1+$W$19/100)</f>
        <v>20335.86135708493</v>
      </c>
      <c r="X44" s="32">
        <f t="shared" ref="X44:X46" si="25">V44*(1+$X$19/100)</f>
        <v>20734.603736635618</v>
      </c>
      <c r="Y44" s="94"/>
      <c r="Z44" s="120"/>
      <c r="AA44" s="94">
        <v>851</v>
      </c>
      <c r="AB44" s="113"/>
      <c r="AC44" s="113"/>
      <c r="AD44" s="113" t="s">
        <v>25</v>
      </c>
      <c r="AE44" s="113"/>
      <c r="AF44" s="113"/>
      <c r="AH44" s="97">
        <v>25</v>
      </c>
      <c r="AI44" s="111" t="s">
        <v>4036</v>
      </c>
      <c r="AJ44" s="111">
        <v>110000</v>
      </c>
      <c r="AK44" s="97">
        <v>1</v>
      </c>
      <c r="AL44" s="97">
        <f t="shared" si="9"/>
        <v>945</v>
      </c>
      <c r="AM44" s="111">
        <f t="shared" si="10"/>
        <v>103950000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5886</v>
      </c>
      <c r="N45" s="115">
        <f>O45*P45</f>
        <v>72635000</v>
      </c>
      <c r="O45" s="67">
        <v>199000</v>
      </c>
      <c r="P45" s="67">
        <v>365</v>
      </c>
      <c r="Q45" s="167">
        <v>67414766</v>
      </c>
      <c r="R45" s="207" t="s">
        <v>5656</v>
      </c>
      <c r="S45" s="194">
        <f>S44</f>
        <v>218</v>
      </c>
      <c r="T45" s="207" t="s">
        <v>5663</v>
      </c>
      <c r="U45" s="207">
        <v>1582.3</v>
      </c>
      <c r="V45" s="207">
        <f t="shared" si="6"/>
        <v>1870.9635408219178</v>
      </c>
      <c r="W45" s="32">
        <f t="shared" si="24"/>
        <v>1908.3828116383563</v>
      </c>
      <c r="X45" s="32">
        <f t="shared" si="25"/>
        <v>1945.8020824547946</v>
      </c>
      <c r="Y45" s="94">
        <v>42448</v>
      </c>
      <c r="Z45" s="120"/>
      <c r="AB45" s="113"/>
      <c r="AC45" s="113" t="s">
        <v>25</v>
      </c>
      <c r="AD45" s="113" t="s">
        <v>25</v>
      </c>
      <c r="AE45" s="113"/>
      <c r="AF45" s="113" t="s">
        <v>25</v>
      </c>
      <c r="AH45" s="97">
        <v>26</v>
      </c>
      <c r="AI45" s="111" t="s">
        <v>3785</v>
      </c>
      <c r="AJ45" s="111">
        <v>380000</v>
      </c>
      <c r="AK45" s="97">
        <v>7</v>
      </c>
      <c r="AL45" s="97">
        <f t="shared" si="9"/>
        <v>944</v>
      </c>
      <c r="AM45" s="111">
        <f t="shared" si="10"/>
        <v>358720000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36"/>
      <c r="L46" s="115"/>
      <c r="M46" s="21" t="s">
        <v>6503</v>
      </c>
      <c r="N46" s="115">
        <f>O46*P46</f>
        <v>0</v>
      </c>
      <c r="O46" s="67">
        <v>0</v>
      </c>
      <c r="P46" s="67">
        <v>265</v>
      </c>
      <c r="Q46" s="167">
        <v>23400057</v>
      </c>
      <c r="R46" s="207" t="s">
        <v>5660</v>
      </c>
      <c r="S46" s="194">
        <f>S45-1</f>
        <v>217</v>
      </c>
      <c r="T46" s="207" t="s">
        <v>5664</v>
      </c>
      <c r="U46" s="207">
        <v>1610.6</v>
      </c>
      <c r="V46" s="207">
        <f t="shared" si="6"/>
        <v>1903.1908624657533</v>
      </c>
      <c r="W46" s="32">
        <f t="shared" si="24"/>
        <v>1941.2546797150685</v>
      </c>
      <c r="X46" s="32">
        <f t="shared" si="25"/>
        <v>1979.3184969643835</v>
      </c>
      <c r="Y46" s="94">
        <v>14475</v>
      </c>
      <c r="Z46" s="120" t="s">
        <v>25</v>
      </c>
      <c r="AB46" s="113"/>
      <c r="AC46" s="113"/>
      <c r="AD46" s="113"/>
      <c r="AE46" s="113"/>
      <c r="AF46" s="113"/>
      <c r="AH46" s="97">
        <v>27</v>
      </c>
      <c r="AI46" s="111" t="s">
        <v>3871</v>
      </c>
      <c r="AJ46" s="111">
        <v>450000</v>
      </c>
      <c r="AK46" s="97">
        <v>6</v>
      </c>
      <c r="AL46" s="97">
        <f t="shared" si="9"/>
        <v>937</v>
      </c>
      <c r="AM46" s="111">
        <f t="shared" si="10"/>
        <v>421650000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21" t="s">
        <v>5876</v>
      </c>
      <c r="N47" s="115">
        <f t="shared" ref="N47:N55" si="26">O47*P47</f>
        <v>0</v>
      </c>
      <c r="O47" s="67">
        <v>0</v>
      </c>
      <c r="P47" s="67">
        <v>165</v>
      </c>
      <c r="Q47" s="167"/>
      <c r="R47" s="207" t="s">
        <v>5666</v>
      </c>
      <c r="S47" s="194">
        <f>S46-4</f>
        <v>213</v>
      </c>
      <c r="T47" s="207" t="s">
        <v>5667</v>
      </c>
      <c r="U47" s="207">
        <v>1582</v>
      </c>
      <c r="V47" s="207">
        <f t="shared" si="6"/>
        <v>1864.5408657534249</v>
      </c>
      <c r="W47" s="32">
        <f t="shared" ref="W47:W57" si="27">V47*(1+$W$19/100)</f>
        <v>1901.8316830684935</v>
      </c>
      <c r="X47" s="32">
        <f t="shared" ref="X47:X57" si="28">V47*(1+$X$19/100)</f>
        <v>1939.1225003835621</v>
      </c>
      <c r="Y47" s="94">
        <v>71983</v>
      </c>
      <c r="Z47" s="120"/>
      <c r="AA47" s="94"/>
      <c r="AB47" s="113"/>
      <c r="AC47" s="113"/>
      <c r="AD47" s="113" t="s">
        <v>25</v>
      </c>
      <c r="AE47" s="113"/>
      <c r="AF47" s="113"/>
      <c r="AH47" s="97">
        <v>28</v>
      </c>
      <c r="AI47" s="111" t="s">
        <v>3895</v>
      </c>
      <c r="AJ47" s="111">
        <v>2800000</v>
      </c>
      <c r="AK47" s="97">
        <v>1</v>
      </c>
      <c r="AL47" s="97">
        <f t="shared" si="9"/>
        <v>931</v>
      </c>
      <c r="AM47" s="111">
        <f t="shared" si="10"/>
        <v>2606800000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5481</v>
      </c>
      <c r="L48" s="115">
        <f>J141</f>
        <v>19280000</v>
      </c>
      <c r="M48" s="19" t="s">
        <v>4357</v>
      </c>
      <c r="N48" s="115">
        <f t="shared" si="26"/>
        <v>6626500</v>
      </c>
      <c r="O48" s="67">
        <v>457</v>
      </c>
      <c r="P48" s="67">
        <v>14500</v>
      </c>
      <c r="Q48" s="167"/>
      <c r="R48" s="207" t="s">
        <v>5668</v>
      </c>
      <c r="S48" s="194">
        <f>S47-1</f>
        <v>212</v>
      </c>
      <c r="T48" s="207" t="s">
        <v>5669</v>
      </c>
      <c r="U48" s="207">
        <v>1530</v>
      </c>
      <c r="V48" s="207">
        <f t="shared" si="6"/>
        <v>1802.0801095890415</v>
      </c>
      <c r="W48" s="32">
        <f t="shared" si="27"/>
        <v>1838.1217117808224</v>
      </c>
      <c r="X48" s="32">
        <f t="shared" si="28"/>
        <v>1874.1633139726032</v>
      </c>
      <c r="Y48" s="94">
        <v>2971</v>
      </c>
      <c r="Z48" s="120"/>
      <c r="AA48" s="94"/>
      <c r="AB48" s="113" t="s">
        <v>25</v>
      </c>
      <c r="AC48" s="113"/>
      <c r="AD48" s="113"/>
      <c r="AE48" s="113"/>
      <c r="AF48" s="113"/>
      <c r="AH48" s="97">
        <v>29</v>
      </c>
      <c r="AI48" s="111" t="s">
        <v>3896</v>
      </c>
      <c r="AJ48" s="111">
        <v>-1500000</v>
      </c>
      <c r="AK48" s="97">
        <v>0</v>
      </c>
      <c r="AL48" s="97">
        <f t="shared" si="9"/>
        <v>930</v>
      </c>
      <c r="AM48" s="111">
        <f t="shared" si="10"/>
        <v>-1395000000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4361</v>
      </c>
      <c r="N49" s="115">
        <f t="shared" si="26"/>
        <v>0</v>
      </c>
      <c r="O49" s="67">
        <v>0</v>
      </c>
      <c r="P49" s="67">
        <v>21500</v>
      </c>
      <c r="Q49" s="167"/>
      <c r="R49" s="207" t="s">
        <v>5671</v>
      </c>
      <c r="S49" s="194">
        <f>S48-2</f>
        <v>210</v>
      </c>
      <c r="T49" s="207" t="s">
        <v>5672</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930</v>
      </c>
      <c r="AM49" s="111">
        <f t="shared" si="10"/>
        <v>2836500000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t="s">
        <v>6532</v>
      </c>
      <c r="L50" s="115">
        <v>436159</v>
      </c>
      <c r="M50" s="19" t="s">
        <v>4159</v>
      </c>
      <c r="N50" s="111">
        <f>O50*P50</f>
        <v>4241842928</v>
      </c>
      <c r="O50" s="97">
        <v>4400252</v>
      </c>
      <c r="P50" s="97">
        <v>964</v>
      </c>
      <c r="Q50" s="167"/>
      <c r="R50" s="207" t="s">
        <v>5687</v>
      </c>
      <c r="S50" s="194">
        <f>S49-19</f>
        <v>191</v>
      </c>
      <c r="T50" s="207" t="s">
        <v>5688</v>
      </c>
      <c r="U50" s="207">
        <v>1160</v>
      </c>
      <c r="V50" s="207">
        <f t="shared" si="6"/>
        <v>1347.5958356164383</v>
      </c>
      <c r="W50" s="32">
        <f t="shared" si="27"/>
        <v>1374.547752328767</v>
      </c>
      <c r="X50" s="32">
        <f t="shared" si="28"/>
        <v>1401.4996690410958</v>
      </c>
      <c r="Y50" s="94">
        <v>53136</v>
      </c>
      <c r="Z50" s="120"/>
      <c r="AA50" s="94"/>
      <c r="AH50" s="97">
        <v>31</v>
      </c>
      <c r="AI50" s="111" t="s">
        <v>3920</v>
      </c>
      <c r="AJ50" s="111">
        <v>-8299612</v>
      </c>
      <c r="AK50" s="97">
        <v>2</v>
      </c>
      <c r="AL50" s="97">
        <f t="shared" si="9"/>
        <v>927</v>
      </c>
      <c r="AM50" s="111">
        <f t="shared" si="10"/>
        <v>-7693740324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c r="L51" s="115"/>
      <c r="M51" s="19" t="s">
        <v>5924</v>
      </c>
      <c r="N51" s="111">
        <f>O51*P51</f>
        <v>31003830</v>
      </c>
      <c r="O51" s="97">
        <v>17082</v>
      </c>
      <c r="P51" s="97">
        <v>1815</v>
      </c>
      <c r="Q51" s="167"/>
      <c r="R51" s="207" t="s">
        <v>5689</v>
      </c>
      <c r="S51" s="194">
        <f>S50-1</f>
        <v>190</v>
      </c>
      <c r="T51" s="207" t="s">
        <v>5690</v>
      </c>
      <c r="U51" s="207"/>
      <c r="V51" s="207">
        <f t="shared" si="6"/>
        <v>0</v>
      </c>
      <c r="W51" s="32">
        <f t="shared" si="27"/>
        <v>0</v>
      </c>
      <c r="X51" s="32">
        <f t="shared" si="28"/>
        <v>0</v>
      </c>
      <c r="Y51" s="94">
        <v>152397</v>
      </c>
      <c r="Z51" s="120"/>
      <c r="AA51" s="94"/>
      <c r="AH51" s="97">
        <v>32</v>
      </c>
      <c r="AI51" s="111" t="s">
        <v>3915</v>
      </c>
      <c r="AJ51" s="111">
        <v>5000000</v>
      </c>
      <c r="AK51" s="97">
        <v>14</v>
      </c>
      <c r="AL51" s="97">
        <f t="shared" si="9"/>
        <v>925</v>
      </c>
      <c r="AM51" s="111">
        <f t="shared" si="10"/>
        <v>4625000000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5891</v>
      </c>
      <c r="N52" s="111">
        <f>O52*P52</f>
        <v>0</v>
      </c>
      <c r="O52" s="97">
        <v>0</v>
      </c>
      <c r="P52" s="97">
        <v>6800</v>
      </c>
      <c r="Q52" s="167"/>
      <c r="R52" s="207" t="s">
        <v>5691</v>
      </c>
      <c r="S52" s="194">
        <f>S51-1</f>
        <v>189</v>
      </c>
      <c r="T52" s="207" t="s">
        <v>5692</v>
      </c>
      <c r="U52" s="207"/>
      <c r="V52" s="207">
        <f t="shared" ref="V52:V77" si="29">U52*(1+$R$112+$Q$15*S52/36500)</f>
        <v>0</v>
      </c>
      <c r="W52" s="32">
        <f t="shared" si="27"/>
        <v>0</v>
      </c>
      <c r="X52" s="32">
        <f t="shared" si="28"/>
        <v>0</v>
      </c>
      <c r="Y52" s="94">
        <v>173628</v>
      </c>
      <c r="Z52" s="120"/>
      <c r="AA52" s="94"/>
      <c r="AH52" s="97">
        <v>33</v>
      </c>
      <c r="AI52" s="111" t="s">
        <v>975</v>
      </c>
      <c r="AJ52" s="111">
        <v>-90000</v>
      </c>
      <c r="AK52" s="97">
        <v>1</v>
      </c>
      <c r="AL52" s="97">
        <f t="shared" si="9"/>
        <v>911</v>
      </c>
      <c r="AM52" s="111">
        <f t="shared" si="10"/>
        <v>-81990000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5280</v>
      </c>
      <c r="N53" s="111">
        <f t="shared" si="26"/>
        <v>138090870</v>
      </c>
      <c r="O53" s="97">
        <v>112269</v>
      </c>
      <c r="P53" s="97">
        <v>1230</v>
      </c>
      <c r="Q53" s="167"/>
      <c r="R53" s="207" t="s">
        <v>5693</v>
      </c>
      <c r="S53" s="194">
        <f>S52-3</f>
        <v>186</v>
      </c>
      <c r="T53" s="207" t="s">
        <v>5694</v>
      </c>
      <c r="U53" s="207"/>
      <c r="V53" s="207">
        <f t="shared" si="29"/>
        <v>0</v>
      </c>
      <c r="W53" s="32">
        <f t="shared" si="27"/>
        <v>0</v>
      </c>
      <c r="X53" s="32">
        <f t="shared" si="28"/>
        <v>0</v>
      </c>
      <c r="Y53" s="94">
        <v>79504</v>
      </c>
      <c r="Z53" s="120"/>
      <c r="AA53" s="94"/>
      <c r="AH53" s="97">
        <v>34</v>
      </c>
      <c r="AI53" s="111" t="s">
        <v>4037</v>
      </c>
      <c r="AJ53" s="111">
        <v>5600000</v>
      </c>
      <c r="AK53" s="97">
        <v>4</v>
      </c>
      <c r="AL53" s="97">
        <f t="shared" si="9"/>
        <v>910</v>
      </c>
      <c r="AM53" s="111">
        <f t="shared" si="10"/>
        <v>5096000000</v>
      </c>
      <c r="AN53" s="97"/>
    </row>
    <row r="54" spans="1:45">
      <c r="A54" s="61">
        <v>1400</v>
      </c>
      <c r="B54" s="11">
        <v>52</v>
      </c>
      <c r="C54" s="47">
        <f t="shared" si="4"/>
        <v>5380547.1560366414</v>
      </c>
      <c r="D54" s="3">
        <f t="shared" si="5"/>
        <v>4370773.2377119577</v>
      </c>
      <c r="E54" s="3">
        <f t="shared" si="11"/>
        <v>542808580.73450804</v>
      </c>
      <c r="F54" s="3"/>
      <c r="G54" s="11"/>
      <c r="H54" s="11"/>
      <c r="J54" s="112"/>
      <c r="K54" s="244"/>
      <c r="L54" s="115" t="s">
        <v>25</v>
      </c>
      <c r="M54" s="21" t="s">
        <v>1070</v>
      </c>
      <c r="N54" s="115">
        <f t="shared" si="26"/>
        <v>0</v>
      </c>
      <c r="O54" s="67">
        <v>0</v>
      </c>
      <c r="P54" s="67">
        <v>1000000</v>
      </c>
      <c r="Q54" s="167"/>
      <c r="R54" s="207" t="s">
        <v>5696</v>
      </c>
      <c r="S54" s="194">
        <f>S53-2</f>
        <v>184</v>
      </c>
      <c r="T54" s="207" t="s">
        <v>5697</v>
      </c>
      <c r="U54" s="207"/>
      <c r="V54" s="207">
        <f t="shared" si="29"/>
        <v>0</v>
      </c>
      <c r="W54" s="32">
        <f t="shared" si="27"/>
        <v>0</v>
      </c>
      <c r="X54" s="32">
        <f t="shared" si="28"/>
        <v>0</v>
      </c>
      <c r="Y54" s="94">
        <v>19196</v>
      </c>
      <c r="Z54" s="120"/>
      <c r="AA54" s="94"/>
      <c r="AH54" s="97">
        <v>35</v>
      </c>
      <c r="AI54" s="111" t="s">
        <v>3965</v>
      </c>
      <c r="AJ54" s="111">
        <v>750000</v>
      </c>
      <c r="AK54" s="97">
        <v>2</v>
      </c>
      <c r="AL54" s="97">
        <f t="shared" si="9"/>
        <v>906</v>
      </c>
      <c r="AM54" s="111">
        <f t="shared" si="10"/>
        <v>679500000</v>
      </c>
      <c r="AN54" s="97"/>
    </row>
    <row r="55" spans="1:45">
      <c r="A55" s="61">
        <v>1400</v>
      </c>
      <c r="B55" s="11">
        <v>53</v>
      </c>
      <c r="C55" s="47">
        <f t="shared" si="4"/>
        <v>5434352.6275970079</v>
      </c>
      <c r="D55" s="3">
        <f t="shared" si="5"/>
        <v>4414480.970089077</v>
      </c>
      <c r="E55" s="3">
        <f t="shared" si="11"/>
        <v>554684624.00670612</v>
      </c>
      <c r="F55" s="3"/>
      <c r="G55" s="11"/>
      <c r="H55" s="11"/>
      <c r="J55" s="112"/>
      <c r="K55" s="97"/>
      <c r="L55" s="115"/>
      <c r="M55" s="71" t="s">
        <v>5068</v>
      </c>
      <c r="N55" s="115">
        <f t="shared" si="26"/>
        <v>0</v>
      </c>
      <c r="O55" s="67">
        <v>0</v>
      </c>
      <c r="P55" s="67">
        <v>21000</v>
      </c>
      <c r="Q55" s="167" t="s">
        <v>25</v>
      </c>
      <c r="R55" s="207" t="s">
        <v>5699</v>
      </c>
      <c r="S55" s="194">
        <f>S54-7</f>
        <v>177</v>
      </c>
      <c r="T55" s="207" t="s">
        <v>5700</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904</v>
      </c>
      <c r="AM55" s="168">
        <f t="shared" si="10"/>
        <v>-3834768000</v>
      </c>
      <c r="AN55" s="169" t="s">
        <v>4046</v>
      </c>
    </row>
    <row r="56" spans="1:45">
      <c r="A56" s="61">
        <v>1400</v>
      </c>
      <c r="B56" s="11">
        <v>54</v>
      </c>
      <c r="C56" s="47">
        <f t="shared" si="4"/>
        <v>5488696.1538729779</v>
      </c>
      <c r="D56" s="3">
        <f t="shared" si="5"/>
        <v>4458625.7797899675</v>
      </c>
      <c r="E56" s="3">
        <f t="shared" si="11"/>
        <v>566808386.86092329</v>
      </c>
      <c r="F56" s="3"/>
      <c r="G56" s="11"/>
      <c r="H56" s="11"/>
      <c r="J56" s="112"/>
      <c r="K56" s="97" t="s">
        <v>5525</v>
      </c>
      <c r="L56" s="115"/>
      <c r="M56" s="166" t="s">
        <v>1136</v>
      </c>
      <c r="N56" s="115">
        <v>14908</v>
      </c>
      <c r="O56" s="72">
        <v>1</v>
      </c>
      <c r="P56" t="s">
        <v>25</v>
      </c>
      <c r="Q56" s="167"/>
      <c r="R56" s="207" t="s">
        <v>965</v>
      </c>
      <c r="S56" s="293">
        <f>S55-20</f>
        <v>157</v>
      </c>
      <c r="T56" s="207" t="s">
        <v>5725</v>
      </c>
      <c r="U56" s="207"/>
      <c r="V56" s="207">
        <f t="shared" si="29"/>
        <v>0</v>
      </c>
      <c r="W56" s="32">
        <f t="shared" si="27"/>
        <v>0</v>
      </c>
      <c r="X56" s="32">
        <f t="shared" si="28"/>
        <v>0</v>
      </c>
      <c r="Y56" s="94">
        <v>948</v>
      </c>
      <c r="Z56" s="120"/>
      <c r="AA56" s="94"/>
      <c r="AH56" s="97">
        <v>37</v>
      </c>
      <c r="AI56" s="111" t="s">
        <v>3975</v>
      </c>
      <c r="AJ56" s="111">
        <v>4100000</v>
      </c>
      <c r="AK56" s="97">
        <v>0</v>
      </c>
      <c r="AL56" s="97">
        <f t="shared" si="9"/>
        <v>902</v>
      </c>
      <c r="AM56" s="111">
        <f t="shared" si="10"/>
        <v>3698200000</v>
      </c>
      <c r="AN56" s="97"/>
    </row>
    <row r="57" spans="1:45" ht="30">
      <c r="A57" s="61">
        <v>1400</v>
      </c>
      <c r="B57" s="11">
        <v>55</v>
      </c>
      <c r="C57" s="48">
        <f t="shared" si="4"/>
        <v>5543583.1154117081</v>
      </c>
      <c r="D57" s="3">
        <f t="shared" si="5"/>
        <v>4503212.0375878671</v>
      </c>
      <c r="E57" s="3">
        <f t="shared" si="11"/>
        <v>579184925.67596567</v>
      </c>
      <c r="F57" s="3"/>
      <c r="G57" s="11"/>
      <c r="H57" s="11"/>
      <c r="J57" s="112"/>
      <c r="K57" s="244" t="s">
        <v>5548</v>
      </c>
      <c r="L57" s="115">
        <v>-1605910</v>
      </c>
      <c r="M57" s="166" t="s">
        <v>1137</v>
      </c>
      <c r="N57" s="115">
        <v>5282</v>
      </c>
      <c r="O57" s="94"/>
      <c r="P57" t="s">
        <v>25</v>
      </c>
      <c r="Q57" s="167" t="s">
        <v>25</v>
      </c>
      <c r="R57" s="207" t="s">
        <v>5764</v>
      </c>
      <c r="S57" s="194">
        <f>S56-22</f>
        <v>135</v>
      </c>
      <c r="T57" s="207" t="s">
        <v>5765</v>
      </c>
      <c r="U57" s="207">
        <v>1302</v>
      </c>
      <c r="V57" s="207">
        <f t="shared" si="29"/>
        <v>1456.6276602739727</v>
      </c>
      <c r="W57" s="32">
        <f t="shared" si="27"/>
        <v>1485.7602134794522</v>
      </c>
      <c r="X57" s="32">
        <f t="shared" si="28"/>
        <v>1514.8927666849315</v>
      </c>
      <c r="Y57">
        <v>483004</v>
      </c>
      <c r="Z57" s="120" t="s">
        <v>25</v>
      </c>
      <c r="AA57" s="94"/>
      <c r="AH57" s="97">
        <v>38</v>
      </c>
      <c r="AI57" s="111" t="s">
        <v>3981</v>
      </c>
      <c r="AJ57" s="111">
        <v>4100000</v>
      </c>
      <c r="AK57" s="97">
        <v>1</v>
      </c>
      <c r="AL57" s="97">
        <f t="shared" si="9"/>
        <v>902</v>
      </c>
      <c r="AM57" s="111">
        <f t="shared" si="10"/>
        <v>3698200000</v>
      </c>
      <c r="AN57" s="97"/>
    </row>
    <row r="58" spans="1:45">
      <c r="A58" s="61">
        <v>1400</v>
      </c>
      <c r="B58" s="11">
        <v>56</v>
      </c>
      <c r="C58" s="48">
        <f t="shared" si="4"/>
        <v>5599018.9465658255</v>
      </c>
      <c r="D58" s="3">
        <f t="shared" si="5"/>
        <v>4548244.1579637462</v>
      </c>
      <c r="E58" s="3">
        <f t="shared" si="11"/>
        <v>591819398.97808707</v>
      </c>
      <c r="F58" s="3"/>
      <c r="G58" s="11"/>
      <c r="H58" s="11"/>
      <c r="K58" s="57"/>
      <c r="L58" s="115"/>
      <c r="M58" s="166"/>
      <c r="N58" s="111"/>
      <c r="O58" s="113"/>
      <c r="P58" s="113"/>
      <c r="Q58" s="167"/>
      <c r="R58" s="207" t="s">
        <v>5770</v>
      </c>
      <c r="S58" s="194">
        <f>S57-1</f>
        <v>134</v>
      </c>
      <c r="T58" s="207" t="s">
        <v>5771</v>
      </c>
      <c r="U58" s="207">
        <v>1250</v>
      </c>
      <c r="V58" s="207">
        <f t="shared" si="29"/>
        <v>1397.4931506849316</v>
      </c>
      <c r="W58" s="32">
        <f t="shared" ref="W58:W81" si="30">V58*(1+$W$19/100)</f>
        <v>1425.4430136986302</v>
      </c>
      <c r="X58" s="32">
        <f t="shared" ref="X58:X81" si="31">V58*(1+$X$19/100)</f>
        <v>1453.3928767123289</v>
      </c>
      <c r="Y58" s="120">
        <v>20399</v>
      </c>
      <c r="Z58" s="120"/>
      <c r="AA58" s="94"/>
      <c r="AH58" s="97">
        <v>39</v>
      </c>
      <c r="AI58" s="111" t="s">
        <v>3990</v>
      </c>
      <c r="AJ58" s="111">
        <v>790000</v>
      </c>
      <c r="AK58" s="97">
        <v>15</v>
      </c>
      <c r="AL58" s="97">
        <f t="shared" si="9"/>
        <v>901</v>
      </c>
      <c r="AM58" s="111">
        <f t="shared" si="10"/>
        <v>711790000</v>
      </c>
      <c r="AN58" s="97"/>
    </row>
    <row r="59" spans="1:45">
      <c r="A59" s="61">
        <v>1400</v>
      </c>
      <c r="B59" s="11">
        <v>57</v>
      </c>
      <c r="C59" s="48">
        <f t="shared" si="4"/>
        <v>5655009.1360314842</v>
      </c>
      <c r="D59" s="3">
        <f t="shared" si="5"/>
        <v>4593726.5995433833</v>
      </c>
      <c r="E59" s="3">
        <f t="shared" si="11"/>
        <v>604717069.49413705</v>
      </c>
      <c r="F59" s="3"/>
      <c r="G59" s="11"/>
      <c r="H59" s="11"/>
      <c r="J59" s="112"/>
      <c r="K59" s="97"/>
      <c r="L59" s="115"/>
      <c r="M59" s="166"/>
      <c r="N59" s="111"/>
      <c r="P59" t="s">
        <v>25</v>
      </c>
      <c r="Q59" s="167"/>
      <c r="R59" s="207" t="s">
        <v>5774</v>
      </c>
      <c r="S59" s="194">
        <f>S58-4</f>
        <v>130</v>
      </c>
      <c r="T59" s="207" t="s">
        <v>5775</v>
      </c>
      <c r="U59" s="207">
        <v>1195</v>
      </c>
      <c r="V59" s="207">
        <f t="shared" si="29"/>
        <v>1332.336602739726</v>
      </c>
      <c r="W59" s="32">
        <f t="shared" si="30"/>
        <v>1358.9833347945205</v>
      </c>
      <c r="X59" s="32">
        <f t="shared" si="31"/>
        <v>1385.6300668493152</v>
      </c>
      <c r="Y59" s="120">
        <v>3122</v>
      </c>
      <c r="Z59" s="120"/>
      <c r="AA59" s="94"/>
      <c r="AB59" s="94"/>
      <c r="AC59" s="94"/>
      <c r="AH59" s="169">
        <v>40</v>
      </c>
      <c r="AI59" s="168" t="s">
        <v>4021</v>
      </c>
      <c r="AJ59" s="168">
        <v>-3865000</v>
      </c>
      <c r="AK59" s="169">
        <v>6</v>
      </c>
      <c r="AL59" s="169">
        <f t="shared" si="9"/>
        <v>886</v>
      </c>
      <c r="AM59" s="170">
        <f t="shared" si="10"/>
        <v>-3424390000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5781</v>
      </c>
      <c r="S60" s="194">
        <f>S59-4</f>
        <v>126</v>
      </c>
      <c r="T60" s="207" t="s">
        <v>5785</v>
      </c>
      <c r="U60" s="207">
        <v>1190</v>
      </c>
      <c r="V60" s="207">
        <f t="shared" si="29"/>
        <v>1323.1104657534249</v>
      </c>
      <c r="W60" s="32">
        <f t="shared" si="30"/>
        <v>1349.5726750684935</v>
      </c>
      <c r="X60" s="32">
        <f t="shared" si="31"/>
        <v>1376.034884383562</v>
      </c>
      <c r="Y60" s="120">
        <v>129</v>
      </c>
      <c r="Z60" s="120"/>
      <c r="AA60" s="94"/>
      <c r="AB60" s="94"/>
      <c r="AC60" s="94"/>
      <c r="AH60" s="20">
        <v>41</v>
      </c>
      <c r="AI60" s="115" t="s">
        <v>4051</v>
      </c>
      <c r="AJ60" s="115">
        <v>18800000</v>
      </c>
      <c r="AK60" s="20">
        <v>3</v>
      </c>
      <c r="AL60" s="97">
        <f t="shared" si="9"/>
        <v>880</v>
      </c>
      <c r="AM60" s="111">
        <f t="shared" si="10"/>
        <v>16544000000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5783</v>
      </c>
      <c r="S61" s="194">
        <f>S59-7</f>
        <v>123</v>
      </c>
      <c r="T61" s="207" t="s">
        <v>5784</v>
      </c>
      <c r="U61" s="207">
        <v>1147</v>
      </c>
      <c r="V61" s="207">
        <f t="shared" si="29"/>
        <v>1272.6609205479454</v>
      </c>
      <c r="W61" s="32">
        <f t="shared" si="30"/>
        <v>1298.1141389589043</v>
      </c>
      <c r="X61" s="32">
        <f t="shared" si="31"/>
        <v>1323.5673573698632</v>
      </c>
      <c r="Y61" s="120">
        <v>27849</v>
      </c>
      <c r="Z61" s="120"/>
      <c r="AA61" s="94"/>
      <c r="AB61" s="94"/>
      <c r="AC61" s="94"/>
      <c r="AH61" s="20">
        <v>42</v>
      </c>
      <c r="AI61" s="115" t="s">
        <v>4067</v>
      </c>
      <c r="AJ61" s="115">
        <v>500000</v>
      </c>
      <c r="AK61" s="20">
        <v>1</v>
      </c>
      <c r="AL61" s="97">
        <f t="shared" si="9"/>
        <v>877</v>
      </c>
      <c r="AM61" s="111">
        <f t="shared" si="10"/>
        <v>438500000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t="s">
        <v>4404</v>
      </c>
      <c r="N62" s="111">
        <f>-W169</f>
        <v>-84589383.810827002</v>
      </c>
      <c r="P62" t="s">
        <v>25</v>
      </c>
      <c r="Q62" s="167"/>
      <c r="R62" s="207" t="s">
        <v>5787</v>
      </c>
      <c r="S62" s="194">
        <f>S61-2</f>
        <v>121</v>
      </c>
      <c r="T62" s="207" t="s">
        <v>5928</v>
      </c>
      <c r="U62" s="207">
        <v>1170</v>
      </c>
      <c r="V62" s="207">
        <f t="shared" si="29"/>
        <v>1296.3856438356167</v>
      </c>
      <c r="W62" s="32">
        <f t="shared" si="30"/>
        <v>1322.3133567123291</v>
      </c>
      <c r="X62" s="32">
        <f t="shared" si="31"/>
        <v>1348.2410695890414</v>
      </c>
      <c r="Y62" s="120">
        <v>17228</v>
      </c>
      <c r="Z62" s="120"/>
      <c r="AA62" s="94"/>
      <c r="AB62" s="94"/>
      <c r="AC62" s="94"/>
      <c r="AH62" s="20">
        <v>43</v>
      </c>
      <c r="AI62" s="115" t="s">
        <v>4071</v>
      </c>
      <c r="AJ62" s="115">
        <v>200000</v>
      </c>
      <c r="AK62" s="20">
        <v>3</v>
      </c>
      <c r="AL62" s="97">
        <f>AL63+AK62</f>
        <v>876</v>
      </c>
      <c r="AM62" s="111">
        <f t="shared" si="10"/>
        <v>175200000</v>
      </c>
      <c r="AN62" s="20"/>
    </row>
    <row r="63" spans="1:45">
      <c r="E63" s="26"/>
      <c r="J63" s="112"/>
      <c r="K63" s="166"/>
      <c r="L63" s="115"/>
      <c r="M63" s="166"/>
      <c r="N63" s="111"/>
      <c r="P63" t="s">
        <v>25</v>
      </c>
      <c r="Q63" s="167"/>
      <c r="R63" s="207" t="s">
        <v>5833</v>
      </c>
      <c r="S63" s="194">
        <f>S62-64</f>
        <v>57</v>
      </c>
      <c r="T63" s="207" t="s">
        <v>5834</v>
      </c>
      <c r="U63" s="207">
        <v>13501</v>
      </c>
      <c r="V63" s="207">
        <f t="shared" si="29"/>
        <v>14296.560295890411</v>
      </c>
      <c r="W63" s="32">
        <f t="shared" si="30"/>
        <v>14582.491501808219</v>
      </c>
      <c r="X63" s="32">
        <f t="shared" si="31"/>
        <v>14868.422707726028</v>
      </c>
      <c r="Y63" s="120"/>
      <c r="Z63" s="120"/>
      <c r="AA63" s="94">
        <v>89</v>
      </c>
      <c r="AB63" s="94"/>
      <c r="AC63" s="94"/>
      <c r="AH63" s="20">
        <v>44</v>
      </c>
      <c r="AI63" s="115" t="s">
        <v>4078</v>
      </c>
      <c r="AJ63" s="115">
        <v>1000000</v>
      </c>
      <c r="AK63" s="20">
        <v>3</v>
      </c>
      <c r="AL63" s="97">
        <f t="shared" si="9"/>
        <v>873</v>
      </c>
      <c r="AM63" s="111">
        <f t="shared" si="10"/>
        <v>873000000</v>
      </c>
      <c r="AN63" s="20"/>
    </row>
    <row r="64" spans="1:45">
      <c r="E64" s="26"/>
      <c r="K64" s="166"/>
      <c r="L64" s="115"/>
      <c r="M64" s="166"/>
      <c r="N64" s="111"/>
      <c r="Q64" s="167"/>
      <c r="R64" s="207" t="s">
        <v>5890</v>
      </c>
      <c r="S64" s="194">
        <f>S63-29</f>
        <v>28</v>
      </c>
      <c r="T64" s="207" t="s">
        <v>5892</v>
      </c>
      <c r="U64" s="207">
        <v>14698</v>
      </c>
      <c r="V64" s="207">
        <f t="shared" si="29"/>
        <v>15237.114586301372</v>
      </c>
      <c r="W64" s="32">
        <f t="shared" si="30"/>
        <v>15541.8568780274</v>
      </c>
      <c r="X64" s="32">
        <f t="shared" si="31"/>
        <v>15846.599169753426</v>
      </c>
      <c r="Y64" s="120"/>
      <c r="Z64" s="120"/>
      <c r="AA64" s="94">
        <v>632</v>
      </c>
      <c r="AB64" s="94"/>
      <c r="AC64" s="94"/>
      <c r="AH64" s="20">
        <v>45</v>
      </c>
      <c r="AI64" s="115" t="s">
        <v>4090</v>
      </c>
      <c r="AJ64" s="115">
        <v>1300000</v>
      </c>
      <c r="AK64" s="20">
        <v>0</v>
      </c>
      <c r="AL64" s="97">
        <f>AL65+AK64</f>
        <v>870</v>
      </c>
      <c r="AM64" s="111">
        <f t="shared" si="10"/>
        <v>1131000000</v>
      </c>
      <c r="AN64" s="20"/>
    </row>
    <row r="65" spans="1:40">
      <c r="K65" s="166"/>
      <c r="L65" s="115"/>
      <c r="M65" s="166"/>
      <c r="N65" s="111">
        <f>SUM(N16:N64)</f>
        <v>2774882248.2188125</v>
      </c>
      <c r="P65" t="s">
        <v>25</v>
      </c>
      <c r="Q65" s="167"/>
      <c r="R65" s="207" t="s">
        <v>5908</v>
      </c>
      <c r="S65" s="194">
        <f>S64-3</f>
        <v>25</v>
      </c>
      <c r="T65" s="207" t="s">
        <v>5910</v>
      </c>
      <c r="U65" s="207">
        <v>14600</v>
      </c>
      <c r="V65" s="207">
        <f t="shared" si="29"/>
        <v>15101.920000000002</v>
      </c>
      <c r="W65" s="32">
        <f t="shared" si="30"/>
        <v>15403.958400000001</v>
      </c>
      <c r="X65" s="32">
        <f t="shared" si="31"/>
        <v>15705.996800000003</v>
      </c>
      <c r="Y65" s="120"/>
      <c r="Z65" s="120"/>
      <c r="AA65" s="94">
        <v>1</v>
      </c>
      <c r="AB65" s="94"/>
      <c r="AC65" s="94"/>
      <c r="AH65" s="20">
        <v>45</v>
      </c>
      <c r="AI65" s="115" t="s">
        <v>4090</v>
      </c>
      <c r="AJ65" s="115">
        <v>995000</v>
      </c>
      <c r="AK65" s="20">
        <v>2</v>
      </c>
      <c r="AL65" s="97">
        <f t="shared" ref="AL65:AL92" si="32">AL66+AK65</f>
        <v>870</v>
      </c>
      <c r="AM65" s="111">
        <f t="shared" si="10"/>
        <v>865650000</v>
      </c>
      <c r="AN65" s="20"/>
    </row>
    <row r="66" spans="1:40">
      <c r="K66" s="166" t="s">
        <v>593</v>
      </c>
      <c r="L66" s="111">
        <f>SUM(L16:L49)</f>
        <v>4466347394.9703608</v>
      </c>
      <c r="M66" s="166"/>
      <c r="N66" s="111">
        <f>N16+N17+N35</f>
        <v>641053</v>
      </c>
      <c r="P66" t="s">
        <v>25</v>
      </c>
      <c r="Q66" s="167"/>
      <c r="R66" s="207" t="s">
        <v>5925</v>
      </c>
      <c r="S66" s="194">
        <f>S65-3</f>
        <v>22</v>
      </c>
      <c r="T66" s="207" t="s">
        <v>5927</v>
      </c>
      <c r="U66" s="207">
        <v>1976</v>
      </c>
      <c r="V66" s="207">
        <f t="shared" si="29"/>
        <v>2039.3835835616442</v>
      </c>
      <c r="W66" s="32">
        <f t="shared" si="30"/>
        <v>2080.1712552328772</v>
      </c>
      <c r="X66" s="32">
        <f t="shared" si="31"/>
        <v>2120.9589269041098</v>
      </c>
      <c r="Y66" s="120"/>
      <c r="Z66" s="120"/>
      <c r="AA66" s="94"/>
      <c r="AB66" s="94"/>
      <c r="AC66" s="94"/>
      <c r="AH66" s="20">
        <v>46</v>
      </c>
      <c r="AI66" s="115" t="s">
        <v>4099</v>
      </c>
      <c r="AJ66" s="115">
        <v>13000000</v>
      </c>
      <c r="AK66" s="20">
        <v>2</v>
      </c>
      <c r="AL66" s="97">
        <f t="shared" si="32"/>
        <v>868</v>
      </c>
      <c r="AM66" s="111">
        <f t="shared" si="10"/>
        <v>11284000000</v>
      </c>
      <c r="AN66" s="20"/>
    </row>
    <row r="67" spans="1:40">
      <c r="A67" t="s">
        <v>25</v>
      </c>
      <c r="F67" t="s">
        <v>310</v>
      </c>
      <c r="G67" t="s">
        <v>4082</v>
      </c>
      <c r="K67" s="166" t="s">
        <v>594</v>
      </c>
      <c r="L67" s="111">
        <f>L16+L17+L27</f>
        <v>4956372</v>
      </c>
      <c r="M67" s="111"/>
      <c r="N67" s="166"/>
      <c r="O67" s="113"/>
      <c r="P67" s="113" t="s">
        <v>25</v>
      </c>
      <c r="Q67" s="167"/>
      <c r="R67" s="207" t="s">
        <v>6460</v>
      </c>
      <c r="S67" s="194">
        <f>S66-5</f>
        <v>17</v>
      </c>
      <c r="T67" s="207" t="s">
        <v>6461</v>
      </c>
      <c r="U67" s="207">
        <v>14292</v>
      </c>
      <c r="V67" s="207">
        <f t="shared" si="29"/>
        <v>14695.621742465755</v>
      </c>
      <c r="W67" s="32">
        <f t="shared" si="30"/>
        <v>14989.53417731507</v>
      </c>
      <c r="X67" s="32">
        <f t="shared" si="31"/>
        <v>15283.446612164385</v>
      </c>
      <c r="Y67" s="120"/>
      <c r="Z67" s="120"/>
      <c r="AA67" s="94">
        <v>413</v>
      </c>
      <c r="AB67" s="94"/>
      <c r="AC67" s="94"/>
      <c r="AH67" s="20">
        <v>47</v>
      </c>
      <c r="AI67" s="115" t="s">
        <v>4112</v>
      </c>
      <c r="AJ67" s="115">
        <v>-3100000</v>
      </c>
      <c r="AK67" s="20">
        <v>3</v>
      </c>
      <c r="AL67" s="97">
        <f t="shared" si="32"/>
        <v>866</v>
      </c>
      <c r="AM67" s="111">
        <f t="shared" si="10"/>
        <v>-2684600000</v>
      </c>
      <c r="AN67" s="20"/>
    </row>
    <row r="68" spans="1:40">
      <c r="F68" t="s">
        <v>4086</v>
      </c>
      <c r="G68" t="s">
        <v>4081</v>
      </c>
      <c r="K68" s="54" t="s">
        <v>709</v>
      </c>
      <c r="L68" s="1">
        <f>L66+N7</f>
        <v>4566347394.9703608</v>
      </c>
      <c r="O68" s="94"/>
      <c r="P68" s="120" t="s">
        <v>25</v>
      </c>
      <c r="Q68" s="167"/>
      <c r="R68" s="207" t="s">
        <v>6464</v>
      </c>
      <c r="S68" s="194">
        <f>S67-1</f>
        <v>16</v>
      </c>
      <c r="T68" s="207" t="s">
        <v>6482</v>
      </c>
      <c r="U68" s="207">
        <v>14283</v>
      </c>
      <c r="V68" s="207">
        <f t="shared" si="29"/>
        <v>14675.410750684932</v>
      </c>
      <c r="W68" s="32">
        <f t="shared" si="30"/>
        <v>14968.918965698631</v>
      </c>
      <c r="X68" s="32">
        <f t="shared" si="31"/>
        <v>15262.42718071233</v>
      </c>
      <c r="Y68" s="120"/>
      <c r="Z68" s="120"/>
      <c r="AA68" s="94">
        <v>320</v>
      </c>
      <c r="AB68" s="94" t="s">
        <v>25</v>
      </c>
      <c r="AC68" s="94"/>
      <c r="AH68" s="20">
        <v>48</v>
      </c>
      <c r="AI68" s="115" t="s">
        <v>4127</v>
      </c>
      <c r="AJ68" s="115">
        <v>45640000</v>
      </c>
      <c r="AK68" s="20">
        <v>1</v>
      </c>
      <c r="AL68" s="97">
        <f t="shared" si="32"/>
        <v>863</v>
      </c>
      <c r="AM68" s="111">
        <f t="shared" si="10"/>
        <v>39387320000</v>
      </c>
      <c r="AN68" s="20"/>
    </row>
    <row r="69" spans="1:40">
      <c r="F69" t="s">
        <v>4087</v>
      </c>
      <c r="G69" t="s">
        <v>4083</v>
      </c>
      <c r="M69" s="25"/>
      <c r="O69" t="s">
        <v>25</v>
      </c>
      <c r="Q69" s="167"/>
      <c r="R69" s="207" t="s">
        <v>6464</v>
      </c>
      <c r="S69" s="194">
        <f>S68</f>
        <v>16</v>
      </c>
      <c r="T69" s="207" t="s">
        <v>6466</v>
      </c>
      <c r="U69" s="207">
        <v>1973</v>
      </c>
      <c r="V69" s="207">
        <f t="shared" si="29"/>
        <v>2027.2061479452057</v>
      </c>
      <c r="W69" s="32">
        <f t="shared" si="30"/>
        <v>2067.7502709041096</v>
      </c>
      <c r="X69" s="32">
        <f t="shared" si="31"/>
        <v>2108.2943938630137</v>
      </c>
      <c r="Y69" s="120"/>
      <c r="Z69" s="120"/>
      <c r="AA69" s="94"/>
      <c r="AB69" s="94"/>
      <c r="AC69" s="94"/>
      <c r="AH69" s="20">
        <v>49</v>
      </c>
      <c r="AI69" s="115" t="s">
        <v>4132</v>
      </c>
      <c r="AJ69" s="115">
        <v>33500000</v>
      </c>
      <c r="AK69" s="20">
        <v>1</v>
      </c>
      <c r="AL69" s="97">
        <f t="shared" si="32"/>
        <v>862</v>
      </c>
      <c r="AM69" s="111">
        <f t="shared" si="10"/>
        <v>28877000000</v>
      </c>
      <c r="AN69" s="20"/>
    </row>
    <row r="70" spans="1:40">
      <c r="G70" t="s">
        <v>4084</v>
      </c>
      <c r="M70" s="25"/>
      <c r="N70" s="94"/>
      <c r="O70" s="94" t="s">
        <v>25</v>
      </c>
      <c r="P70" s="113"/>
      <c r="Q70" s="167"/>
      <c r="R70" s="207" t="s">
        <v>6469</v>
      </c>
      <c r="S70" s="194">
        <f>S69-1</f>
        <v>15</v>
      </c>
      <c r="T70" s="207" t="s">
        <v>6475</v>
      </c>
      <c r="U70" s="207">
        <v>1955</v>
      </c>
      <c r="V70" s="207">
        <f t="shared" si="29"/>
        <v>2007.2118904109591</v>
      </c>
      <c r="W70" s="32">
        <f t="shared" si="30"/>
        <v>2047.3561282191783</v>
      </c>
      <c r="X70" s="32">
        <f t="shared" si="31"/>
        <v>2087.5003660273974</v>
      </c>
      <c r="Y70" s="120"/>
      <c r="Z70" s="120"/>
      <c r="AA70" s="94"/>
      <c r="AH70" s="20">
        <v>50</v>
      </c>
      <c r="AI70" s="115" t="s">
        <v>4137</v>
      </c>
      <c r="AJ70" s="115">
        <v>12000000</v>
      </c>
      <c r="AK70" s="20">
        <v>1</v>
      </c>
      <c r="AL70" s="97">
        <f t="shared" si="32"/>
        <v>861</v>
      </c>
      <c r="AM70" s="115">
        <f t="shared" si="10"/>
        <v>10332000000</v>
      </c>
      <c r="AN70" s="20"/>
    </row>
    <row r="71" spans="1:40">
      <c r="G71" t="s">
        <v>4085</v>
      </c>
      <c r="M71" s="175"/>
      <c r="N71" s="94"/>
      <c r="O71" s="94" t="s">
        <v>6464</v>
      </c>
      <c r="P71" s="113"/>
      <c r="Q71" s="167"/>
      <c r="R71" s="207" t="s">
        <v>6478</v>
      </c>
      <c r="S71" s="194">
        <f>S70-1</f>
        <v>14</v>
      </c>
      <c r="T71" s="207" t="s">
        <v>6483</v>
      </c>
      <c r="U71" s="207">
        <v>1898</v>
      </c>
      <c r="V71" s="207">
        <f t="shared" si="29"/>
        <v>1947.2336000000005</v>
      </c>
      <c r="W71" s="32">
        <f t="shared" si="30"/>
        <v>1986.1782720000006</v>
      </c>
      <c r="X71" s="32">
        <f t="shared" si="31"/>
        <v>2025.1229440000006</v>
      </c>
      <c r="Y71" s="120"/>
      <c r="Z71" s="120"/>
      <c r="AA71" s="94"/>
      <c r="AH71" s="20">
        <v>51</v>
      </c>
      <c r="AI71" s="115" t="s">
        <v>4142</v>
      </c>
      <c r="AJ71" s="115">
        <v>15500000</v>
      </c>
      <c r="AK71" s="20">
        <v>4</v>
      </c>
      <c r="AL71" s="97">
        <f t="shared" si="32"/>
        <v>860</v>
      </c>
      <c r="AM71" s="115">
        <f t="shared" si="10"/>
        <v>13330000000</v>
      </c>
      <c r="AN71" s="20"/>
    </row>
    <row r="72" spans="1:40">
      <c r="G72" t="s">
        <v>4089</v>
      </c>
      <c r="M72" s="94"/>
      <c r="N72" s="94"/>
      <c r="O72" s="120" t="s">
        <v>6467</v>
      </c>
      <c r="Q72" s="167"/>
      <c r="R72" s="207" t="s">
        <v>6478</v>
      </c>
      <c r="S72" s="194">
        <f>S71</f>
        <v>14</v>
      </c>
      <c r="T72" s="207" t="s">
        <v>6484</v>
      </c>
      <c r="U72" s="207">
        <v>1017</v>
      </c>
      <c r="V72" s="207">
        <f t="shared" si="29"/>
        <v>1043.3807013698631</v>
      </c>
      <c r="W72" s="32">
        <f t="shared" si="30"/>
        <v>1064.2483153972605</v>
      </c>
      <c r="X72" s="32">
        <f t="shared" si="31"/>
        <v>1085.1159294246577</v>
      </c>
      <c r="Y72" s="120">
        <v>5185</v>
      </c>
      <c r="Z72" s="120"/>
      <c r="AA72" s="94"/>
      <c r="AH72" s="20">
        <v>52</v>
      </c>
      <c r="AI72" s="115" t="s">
        <v>4146</v>
      </c>
      <c r="AJ72" s="115">
        <v>150000</v>
      </c>
      <c r="AK72" s="20">
        <v>1</v>
      </c>
      <c r="AL72" s="97">
        <f t="shared" si="32"/>
        <v>856</v>
      </c>
      <c r="AM72" s="115">
        <f t="shared" si="10"/>
        <v>128400000</v>
      </c>
      <c r="AN72" s="20"/>
    </row>
    <row r="73" spans="1:40">
      <c r="G73" t="s">
        <v>4088</v>
      </c>
      <c r="M73" s="120" t="s">
        <v>4375</v>
      </c>
      <c r="O73" s="112" t="s">
        <v>6468</v>
      </c>
      <c r="Q73" s="167"/>
      <c r="R73" s="207" t="s">
        <v>6486</v>
      </c>
      <c r="S73" s="194">
        <f>S72-3</f>
        <v>11</v>
      </c>
      <c r="T73" s="207" t="s">
        <v>6487</v>
      </c>
      <c r="U73" s="207">
        <v>990</v>
      </c>
      <c r="V73" s="207">
        <f t="shared" si="29"/>
        <v>1013.4019726027398</v>
      </c>
      <c r="W73" s="32">
        <f t="shared" si="30"/>
        <v>1033.6700120547946</v>
      </c>
      <c r="X73" s="32">
        <f t="shared" si="31"/>
        <v>1053.9380515068494</v>
      </c>
      <c r="Y73" s="120">
        <v>5969</v>
      </c>
      <c r="Z73" s="120"/>
      <c r="AA73" s="94"/>
      <c r="AH73" s="177">
        <v>53</v>
      </c>
      <c r="AI73" s="178" t="s">
        <v>4152</v>
      </c>
      <c r="AJ73" s="178">
        <v>29000000</v>
      </c>
      <c r="AK73" s="177">
        <v>15</v>
      </c>
      <c r="AL73" s="177">
        <f t="shared" si="32"/>
        <v>855</v>
      </c>
      <c r="AM73" s="178">
        <f t="shared" si="10"/>
        <v>24795000000</v>
      </c>
      <c r="AN73" s="177" t="s">
        <v>4162</v>
      </c>
    </row>
    <row r="74" spans="1:40">
      <c r="M74" s="120"/>
      <c r="N74" s="94"/>
      <c r="O74" s="120" t="s">
        <v>6474</v>
      </c>
      <c r="Q74" s="167"/>
      <c r="R74" s="207" t="s">
        <v>6488</v>
      </c>
      <c r="S74" s="194">
        <f>S73-1</f>
        <v>10</v>
      </c>
      <c r="T74" s="207" t="s">
        <v>6489</v>
      </c>
      <c r="U74" s="207">
        <v>966</v>
      </c>
      <c r="V74" s="207">
        <f t="shared" si="29"/>
        <v>988.09361095890426</v>
      </c>
      <c r="W74" s="32">
        <f t="shared" si="30"/>
        <v>1007.8554831780824</v>
      </c>
      <c r="X74" s="32">
        <f t="shared" si="31"/>
        <v>1027.6173553972606</v>
      </c>
      <c r="Y74" s="120">
        <v>6038</v>
      </c>
      <c r="Z74" s="120"/>
      <c r="AA74" s="94"/>
      <c r="AC74" t="s">
        <v>25</v>
      </c>
      <c r="AH74" s="20">
        <v>54</v>
      </c>
      <c r="AI74" s="115" t="s">
        <v>4186</v>
      </c>
      <c r="AJ74" s="115">
        <v>-130000</v>
      </c>
      <c r="AK74" s="20">
        <v>7</v>
      </c>
      <c r="AL74" s="97">
        <f t="shared" si="32"/>
        <v>840</v>
      </c>
      <c r="AM74" s="115">
        <f t="shared" si="10"/>
        <v>-109200000</v>
      </c>
      <c r="AN74" s="20" t="s">
        <v>4188</v>
      </c>
    </row>
    <row r="75" spans="1:40">
      <c r="G75" s="94"/>
      <c r="H75" s="94"/>
      <c r="M75" s="120" t="s">
        <v>4519</v>
      </c>
      <c r="N75" s="94"/>
      <c r="O75" s="262"/>
      <c r="P75" t="s">
        <v>25</v>
      </c>
      <c r="Q75" s="167"/>
      <c r="R75" s="207" t="s">
        <v>6490</v>
      </c>
      <c r="S75" s="194">
        <f>S74-1</f>
        <v>9</v>
      </c>
      <c r="T75" s="207" t="s">
        <v>6491</v>
      </c>
      <c r="U75" s="207">
        <v>993</v>
      </c>
      <c r="V75" s="207">
        <f t="shared" si="29"/>
        <v>1014.949380821918</v>
      </c>
      <c r="W75" s="32">
        <f t="shared" si="30"/>
        <v>1035.2483684383565</v>
      </c>
      <c r="X75" s="32">
        <f t="shared" si="31"/>
        <v>1055.5473560547948</v>
      </c>
      <c r="Y75" s="120">
        <v>12133</v>
      </c>
      <c r="Z75" s="120"/>
      <c r="AA75" s="94"/>
      <c r="AH75" s="20">
        <v>55</v>
      </c>
      <c r="AI75" s="115" t="s">
        <v>4234</v>
      </c>
      <c r="AJ75" s="115">
        <v>232000</v>
      </c>
      <c r="AK75" s="20">
        <v>2</v>
      </c>
      <c r="AL75" s="97">
        <f t="shared" si="32"/>
        <v>833</v>
      </c>
      <c r="AM75" s="115">
        <f>AJ75*AL75</f>
        <v>193256000</v>
      </c>
      <c r="AN75" s="20" t="s">
        <v>4236</v>
      </c>
    </row>
    <row r="76" spans="1:40" ht="30">
      <c r="D76" s="3"/>
      <c r="E76" s="11" t="s">
        <v>304</v>
      </c>
      <c r="G76" s="94"/>
      <c r="H76" s="94"/>
      <c r="M76" s="202" t="s">
        <v>4618</v>
      </c>
      <c r="N76" s="94"/>
      <c r="P76" s="113"/>
      <c r="Q76" s="167"/>
      <c r="R76" s="207" t="s">
        <v>6493</v>
      </c>
      <c r="S76" s="194">
        <f>S75-2</f>
        <v>7</v>
      </c>
      <c r="T76" s="207" t="s">
        <v>6494</v>
      </c>
      <c r="U76" s="207">
        <v>1028</v>
      </c>
      <c r="V76" s="207">
        <f t="shared" si="29"/>
        <v>1049.1458191780823</v>
      </c>
      <c r="W76" s="32">
        <f t="shared" si="30"/>
        <v>1070.1287355616439</v>
      </c>
      <c r="X76" s="32">
        <f t="shared" si="31"/>
        <v>1091.1116519452057</v>
      </c>
      <c r="Y76" s="120">
        <v>48358</v>
      </c>
      <c r="Z76" s="120"/>
      <c r="AA76" s="94"/>
      <c r="AH76" s="20">
        <v>56</v>
      </c>
      <c r="AI76" s="115" t="s">
        <v>4244</v>
      </c>
      <c r="AJ76" s="115">
        <v>-170000</v>
      </c>
      <c r="AK76" s="20">
        <v>3</v>
      </c>
      <c r="AL76" s="97">
        <f t="shared" si="32"/>
        <v>831</v>
      </c>
      <c r="AM76" s="115">
        <f t="shared" si="10"/>
        <v>-141270000</v>
      </c>
      <c r="AN76" s="20"/>
    </row>
    <row r="77" spans="1:40" ht="31.5">
      <c r="D77" s="1" t="s">
        <v>305</v>
      </c>
      <c r="E77" s="1">
        <v>70000</v>
      </c>
      <c r="G77" s="94"/>
      <c r="H77" s="94"/>
      <c r="K77" s="206" t="s">
        <v>4660</v>
      </c>
      <c r="L77" s="22" t="s">
        <v>4639</v>
      </c>
      <c r="M77" s="241" t="s">
        <v>4935</v>
      </c>
      <c r="N77" s="94"/>
      <c r="Q77" s="167"/>
      <c r="R77" s="4" t="s">
        <v>6493</v>
      </c>
      <c r="S77" s="194">
        <f>S76</f>
        <v>7</v>
      </c>
      <c r="T77" s="207" t="s">
        <v>6495</v>
      </c>
      <c r="U77" s="207">
        <v>1862</v>
      </c>
      <c r="V77" s="207">
        <f t="shared" si="29"/>
        <v>1900.3010849315071</v>
      </c>
      <c r="W77" s="32">
        <f t="shared" si="30"/>
        <v>1938.3071066301372</v>
      </c>
      <c r="X77" s="32">
        <f t="shared" si="31"/>
        <v>1976.3131283287676</v>
      </c>
      <c r="Y77" s="120"/>
      <c r="Z77" s="120"/>
      <c r="AA77" s="94"/>
      <c r="AH77" s="20">
        <v>57</v>
      </c>
      <c r="AI77" s="115" t="s">
        <v>4258</v>
      </c>
      <c r="AJ77" s="115">
        <v>-300000</v>
      </c>
      <c r="AK77" s="20">
        <v>3</v>
      </c>
      <c r="AL77" s="97">
        <f t="shared" si="32"/>
        <v>828</v>
      </c>
      <c r="AM77" s="115">
        <f t="shared" si="10"/>
        <v>-248400000</v>
      </c>
      <c r="AN77" s="20"/>
    </row>
    <row r="78" spans="1:40">
      <c r="D78" s="1" t="s">
        <v>321</v>
      </c>
      <c r="E78" s="1">
        <v>100000</v>
      </c>
      <c r="G78" s="94"/>
      <c r="H78" s="94"/>
      <c r="K78" t="s">
        <v>4661</v>
      </c>
      <c r="M78" s="120"/>
      <c r="Q78" s="167"/>
      <c r="R78" s="207"/>
      <c r="S78" s="194"/>
      <c r="T78" s="207"/>
      <c r="U78" s="207"/>
      <c r="V78" s="207"/>
      <c r="W78" s="32"/>
      <c r="X78" s="32"/>
      <c r="Y78" s="120"/>
      <c r="Z78" s="120"/>
      <c r="AA78" s="94"/>
      <c r="AD78" s="113"/>
      <c r="AE78" s="113"/>
      <c r="AH78" s="20">
        <v>58</v>
      </c>
      <c r="AI78" s="115" t="s">
        <v>4267</v>
      </c>
      <c r="AJ78" s="115">
        <v>-11400000</v>
      </c>
      <c r="AK78" s="20">
        <v>13</v>
      </c>
      <c r="AL78" s="97">
        <f t="shared" ref="AL78:AL83" si="33">AL79+AK78</f>
        <v>825</v>
      </c>
      <c r="AM78" s="115">
        <f t="shared" si="10"/>
        <v>-9405000000</v>
      </c>
      <c r="AN78" s="20"/>
    </row>
    <row r="79" spans="1:40">
      <c r="D79" s="1" t="s">
        <v>306</v>
      </c>
      <c r="E79" s="1">
        <v>80000</v>
      </c>
      <c r="G79" s="94"/>
      <c r="H79" s="94"/>
      <c r="K79" t="s">
        <v>4522</v>
      </c>
      <c r="L79" s="94"/>
      <c r="M79" s="94"/>
      <c r="N79" s="94"/>
      <c r="Q79" s="167"/>
      <c r="R79" s="207"/>
      <c r="S79" s="194"/>
      <c r="T79" s="207"/>
      <c r="U79" s="207"/>
      <c r="V79" s="207"/>
      <c r="W79" s="32"/>
      <c r="X79" s="32"/>
      <c r="Y79" s="120"/>
      <c r="Z79" s="120"/>
      <c r="AA79" s="94"/>
      <c r="AC79" s="113" t="s">
        <v>25</v>
      </c>
      <c r="AD79" s="113"/>
      <c r="AE79" s="113"/>
      <c r="AF79"/>
      <c r="AH79" s="20">
        <v>59</v>
      </c>
      <c r="AI79" s="115" t="s">
        <v>4316</v>
      </c>
      <c r="AJ79" s="115">
        <v>-10000000</v>
      </c>
      <c r="AK79" s="20">
        <v>1</v>
      </c>
      <c r="AL79" s="97">
        <f t="shared" si="33"/>
        <v>812</v>
      </c>
      <c r="AM79" s="115">
        <f>AJ79*AL79</f>
        <v>-8120000000</v>
      </c>
      <c r="AN79" s="20"/>
    </row>
    <row r="80" spans="1:40">
      <c r="D80" s="31" t="s">
        <v>307</v>
      </c>
      <c r="E80" s="1">
        <v>150000</v>
      </c>
      <c r="G80" s="94"/>
      <c r="H80" s="94"/>
      <c r="K80" t="s">
        <v>4718</v>
      </c>
      <c r="Q80" s="167"/>
      <c r="R80" s="207" t="s">
        <v>25</v>
      </c>
      <c r="S80" s="194"/>
      <c r="T80" s="207"/>
      <c r="U80" s="207"/>
      <c r="V80" s="207">
        <f>U80*(1+$R$112+$Q$15*S80/36500)</f>
        <v>0</v>
      </c>
      <c r="W80" s="32">
        <f t="shared" si="30"/>
        <v>0</v>
      </c>
      <c r="X80" s="32">
        <f t="shared" si="31"/>
        <v>0</v>
      </c>
      <c r="Y80" s="120"/>
      <c r="Z80" s="120"/>
      <c r="AA80" s="94"/>
      <c r="AC80" s="113"/>
      <c r="AD80" s="113"/>
      <c r="AE80" s="113"/>
      <c r="AF80"/>
      <c r="AH80" s="20">
        <v>60</v>
      </c>
      <c r="AI80" s="115" t="s">
        <v>4317</v>
      </c>
      <c r="AJ80" s="115">
        <v>-2450000</v>
      </c>
      <c r="AK80" s="20">
        <v>5</v>
      </c>
      <c r="AL80" s="97">
        <f t="shared" si="33"/>
        <v>811</v>
      </c>
      <c r="AM80" s="115">
        <f>AJ80*AL80</f>
        <v>-1986950000</v>
      </c>
      <c r="AN80" s="20"/>
    </row>
    <row r="81" spans="4:52">
      <c r="D81" s="31" t="s">
        <v>308</v>
      </c>
      <c r="E81" s="1">
        <v>300000</v>
      </c>
      <c r="G81" s="94"/>
      <c r="H81" s="94"/>
      <c r="J81" t="s">
        <v>25</v>
      </c>
      <c r="K81" t="s">
        <v>4719</v>
      </c>
      <c r="N81" t="s">
        <v>5725</v>
      </c>
      <c r="P81" s="113"/>
      <c r="Q81" s="167" t="s">
        <v>25</v>
      </c>
      <c r="R81" s="166" t="s">
        <v>25</v>
      </c>
      <c r="S81" s="166"/>
      <c r="T81" s="166" t="s">
        <v>25</v>
      </c>
      <c r="U81" s="166"/>
      <c r="V81" s="207">
        <f>U81*(1+$R$112+$Q$15*S81/36500)</f>
        <v>0</v>
      </c>
      <c r="W81" s="32">
        <f t="shared" si="30"/>
        <v>0</v>
      </c>
      <c r="X81" s="32">
        <f t="shared" si="31"/>
        <v>0</v>
      </c>
      <c r="Y81" s="120"/>
      <c r="Z81" s="120" t="s">
        <v>25</v>
      </c>
      <c r="AA81" s="94"/>
      <c r="AD81" s="113"/>
      <c r="AE81" s="113"/>
      <c r="AF81" s="113"/>
      <c r="AH81" s="20">
        <v>61</v>
      </c>
      <c r="AI81" s="115" t="s">
        <v>4341</v>
      </c>
      <c r="AJ81" s="115">
        <v>-456081</v>
      </c>
      <c r="AK81" s="20">
        <v>1</v>
      </c>
      <c r="AL81" s="97">
        <f t="shared" si="33"/>
        <v>806</v>
      </c>
      <c r="AM81" s="115">
        <f t="shared" si="10"/>
        <v>-367601286</v>
      </c>
      <c r="AN81" s="20"/>
    </row>
    <row r="82" spans="4:52" ht="26.25">
      <c r="D82" s="31" t="s">
        <v>309</v>
      </c>
      <c r="E82" s="1">
        <v>100000</v>
      </c>
      <c r="G82" s="94"/>
      <c r="H82" s="94"/>
      <c r="K82" t="s">
        <v>4720</v>
      </c>
      <c r="M82" s="238"/>
      <c r="N82" t="s">
        <v>5724</v>
      </c>
      <c r="Q82" s="167">
        <f>SUM(N21:N24)-SUM(Q20:Q81)</f>
        <v>801386132.67580938</v>
      </c>
      <c r="R82" s="166" t="s">
        <v>25</v>
      </c>
      <c r="S82" s="166" t="s">
        <v>25</v>
      </c>
      <c r="T82" s="166" t="s">
        <v>25</v>
      </c>
      <c r="U82" s="166"/>
      <c r="V82" s="166"/>
      <c r="W82" s="32"/>
      <c r="X82" s="32"/>
      <c r="Z82" s="120"/>
      <c r="AB82" s="113"/>
      <c r="AC82" s="113"/>
      <c r="AD82" s="113"/>
      <c r="AE82" s="113"/>
      <c r="AF82" s="113"/>
      <c r="AH82" s="20">
        <v>62</v>
      </c>
      <c r="AI82" s="115" t="s">
        <v>4343</v>
      </c>
      <c r="AJ82" s="115">
        <v>-500000</v>
      </c>
      <c r="AK82" s="20">
        <v>2</v>
      </c>
      <c r="AL82" s="97">
        <f t="shared" si="33"/>
        <v>805</v>
      </c>
      <c r="AM82" s="115">
        <f t="shared" si="10"/>
        <v>-402500000</v>
      </c>
      <c r="AN82" s="20"/>
      <c r="AO82" t="s">
        <v>25</v>
      </c>
      <c r="AU82"/>
      <c r="AW82" t="s">
        <v>25</v>
      </c>
    </row>
    <row r="83" spans="4:52">
      <c r="D83" s="31" t="s">
        <v>310</v>
      </c>
      <c r="E83" s="1">
        <v>200000</v>
      </c>
      <c r="F83" s="94"/>
      <c r="G83" s="94"/>
      <c r="H83" s="94"/>
      <c r="I83" s="94"/>
      <c r="J83" s="94"/>
      <c r="K83" t="s">
        <v>4484</v>
      </c>
      <c r="R83" s="113" t="s">
        <v>25</v>
      </c>
      <c r="S83" s="113" t="s">
        <v>25</v>
      </c>
      <c r="T83" s="120" t="s">
        <v>25</v>
      </c>
      <c r="U83" s="113" t="s">
        <v>25</v>
      </c>
      <c r="V83" s="113" t="s">
        <v>25</v>
      </c>
      <c r="W83" s="191" t="s">
        <v>25</v>
      </c>
      <c r="X83" s="191"/>
      <c r="Z83" s="120" t="s">
        <v>25</v>
      </c>
      <c r="AA83" t="s">
        <v>25</v>
      </c>
      <c r="AB83" s="113"/>
      <c r="AC83" s="126"/>
      <c r="AD83" s="113"/>
      <c r="AE83" s="113"/>
      <c r="AF83" s="113"/>
      <c r="AH83" s="20">
        <v>63</v>
      </c>
      <c r="AI83" s="115" t="s">
        <v>4359</v>
      </c>
      <c r="AJ83" s="115">
        <v>-6234370</v>
      </c>
      <c r="AK83" s="20">
        <v>3</v>
      </c>
      <c r="AL83" s="97">
        <f t="shared" si="33"/>
        <v>803</v>
      </c>
      <c r="AM83" s="115">
        <f t="shared" si="10"/>
        <v>-5006199110</v>
      </c>
      <c r="AN83" s="20"/>
      <c r="AU83"/>
    </row>
    <row r="84" spans="4:52">
      <c r="D84" s="18" t="s">
        <v>311</v>
      </c>
      <c r="E84" s="18">
        <v>300000</v>
      </c>
      <c r="F84" s="94"/>
      <c r="G84" s="94"/>
      <c r="H84" s="94"/>
      <c r="I84" s="94"/>
      <c r="J84" s="94"/>
      <c r="K84" t="s">
        <v>4525</v>
      </c>
      <c r="M84" s="243" t="s">
        <v>4940</v>
      </c>
      <c r="Q84" s="94" t="s">
        <v>25</v>
      </c>
      <c r="R84" s="113" t="s">
        <v>25</v>
      </c>
      <c r="S84" s="113"/>
      <c r="T84" s="113" t="s">
        <v>25</v>
      </c>
      <c r="U84" s="113" t="s">
        <v>25</v>
      </c>
      <c r="V84" s="120" t="s">
        <v>25</v>
      </c>
      <c r="W84" s="191"/>
      <c r="X84" s="191" t="s">
        <v>25</v>
      </c>
      <c r="Y84" s="120" t="s">
        <v>25</v>
      </c>
      <c r="Z84" s="120" t="s">
        <v>25</v>
      </c>
      <c r="AA84" t="s">
        <v>25</v>
      </c>
      <c r="AB84" s="113"/>
      <c r="AC84" s="126"/>
      <c r="AD84" s="113"/>
      <c r="AE84" s="113"/>
      <c r="AF84" s="113"/>
      <c r="AH84" s="20">
        <v>64</v>
      </c>
      <c r="AI84" s="115" t="s">
        <v>4368</v>
      </c>
      <c r="AJ84" s="115">
        <v>1950957</v>
      </c>
      <c r="AK84" s="20">
        <v>4</v>
      </c>
      <c r="AL84" s="97">
        <f t="shared" si="32"/>
        <v>800</v>
      </c>
      <c r="AM84" s="115">
        <f t="shared" si="10"/>
        <v>1560765600</v>
      </c>
      <c r="AN84" s="20"/>
      <c r="AZ84" t="s">
        <v>25</v>
      </c>
    </row>
    <row r="85" spans="4:52">
      <c r="D85" s="32" t="s">
        <v>312</v>
      </c>
      <c r="E85" s="1">
        <v>200000</v>
      </c>
      <c r="F85" s="94"/>
      <c r="G85" s="94"/>
      <c r="H85" s="94"/>
      <c r="I85" s="94"/>
      <c r="J85" s="94"/>
      <c r="K85" t="s">
        <v>4483</v>
      </c>
      <c r="M85" s="243" t="s">
        <v>4941</v>
      </c>
      <c r="Q85" s="166" t="s">
        <v>650</v>
      </c>
      <c r="R85" s="166"/>
      <c r="S85" s="166"/>
      <c r="T85" s="166"/>
      <c r="U85" s="166"/>
      <c r="V85" s="166"/>
      <c r="W85" s="32"/>
      <c r="X85" s="32"/>
      <c r="Z85" t="s">
        <v>25</v>
      </c>
      <c r="AA85" s="113"/>
      <c r="AB85" s="113"/>
      <c r="AC85" s="126"/>
      <c r="AD85" s="113"/>
      <c r="AE85" s="113"/>
      <c r="AF85" s="113"/>
      <c r="AH85" s="20">
        <v>65</v>
      </c>
      <c r="AI85" s="115" t="s">
        <v>4391</v>
      </c>
      <c r="AJ85" s="115">
        <v>600000</v>
      </c>
      <c r="AK85" s="20">
        <v>5</v>
      </c>
      <c r="AL85" s="97">
        <f t="shared" si="32"/>
        <v>796</v>
      </c>
      <c r="AM85" s="115">
        <f t="shared" si="10"/>
        <v>477600000</v>
      </c>
      <c r="AN85" s="20"/>
    </row>
    <row r="86" spans="4:52" ht="30">
      <c r="D86" s="32" t="s">
        <v>313</v>
      </c>
      <c r="E86" s="1">
        <v>20000</v>
      </c>
      <c r="F86" s="94"/>
      <c r="G86" s="94"/>
      <c r="H86" s="94"/>
      <c r="I86" s="94"/>
      <c r="J86" s="94"/>
      <c r="K86" s="22" t="s">
        <v>4219</v>
      </c>
      <c r="Q86" s="166" t="s">
        <v>267</v>
      </c>
      <c r="R86" s="166" t="s">
        <v>180</v>
      </c>
      <c r="S86" s="166" t="s">
        <v>183</v>
      </c>
      <c r="T86" s="166" t="s">
        <v>8</v>
      </c>
      <c r="U86" s="166" t="s">
        <v>4332</v>
      </c>
      <c r="V86" s="71" t="s">
        <v>4334</v>
      </c>
      <c r="W86" s="32">
        <v>2</v>
      </c>
      <c r="X86" s="32">
        <v>4</v>
      </c>
      <c r="AA86" s="113" t="s">
        <v>25</v>
      </c>
      <c r="AB86" s="113"/>
      <c r="AC86" s="126"/>
      <c r="AD86" s="113"/>
      <c r="AE86" s="113"/>
      <c r="AF86" s="113"/>
      <c r="AH86" s="20">
        <v>66</v>
      </c>
      <c r="AI86" s="115" t="s">
        <v>4399</v>
      </c>
      <c r="AJ86" s="115">
        <v>7500000</v>
      </c>
      <c r="AK86" s="20">
        <v>2</v>
      </c>
      <c r="AL86" s="97">
        <f t="shared" si="32"/>
        <v>791</v>
      </c>
      <c r="AM86" s="115">
        <f t="shared" si="10"/>
        <v>5932500000</v>
      </c>
      <c r="AN86" s="20"/>
      <c r="AS86" s="94"/>
    </row>
    <row r="87" spans="4:52">
      <c r="D87" s="32" t="s">
        <v>315</v>
      </c>
      <c r="E87" s="1">
        <v>50000</v>
      </c>
      <c r="G87" s="94"/>
      <c r="H87" s="94"/>
      <c r="K87" t="s">
        <v>4480</v>
      </c>
      <c r="Q87" s="166">
        <v>0</v>
      </c>
      <c r="R87" s="166" t="s">
        <v>4152</v>
      </c>
      <c r="S87" s="166">
        <f>S116</f>
        <v>956</v>
      </c>
      <c r="T87" s="166"/>
      <c r="U87" s="166"/>
      <c r="V87" s="71"/>
      <c r="W87" s="32"/>
      <c r="X87" s="32"/>
      <c r="AB87" s="113"/>
      <c r="AC87" s="126"/>
      <c r="AD87" s="113"/>
      <c r="AE87" s="113"/>
      <c r="AF87" s="113"/>
      <c r="AH87" s="20">
        <v>67</v>
      </c>
      <c r="AI87" s="115" t="s">
        <v>4403</v>
      </c>
      <c r="AJ87" s="115">
        <v>-587816</v>
      </c>
      <c r="AK87" s="20">
        <v>3</v>
      </c>
      <c r="AL87" s="97">
        <f t="shared" si="32"/>
        <v>789</v>
      </c>
      <c r="AM87" s="115">
        <f t="shared" si="10"/>
        <v>-463786824</v>
      </c>
      <c r="AN87" s="20"/>
      <c r="AS87" s="94"/>
    </row>
    <row r="88" spans="4:52" ht="18.75">
      <c r="D88" s="32" t="s">
        <v>316</v>
      </c>
      <c r="E88" s="1">
        <v>90000</v>
      </c>
      <c r="F88" s="94"/>
      <c r="G88" s="94"/>
      <c r="H88" s="94"/>
      <c r="I88" s="94"/>
      <c r="J88" s="94"/>
      <c r="K88" t="s">
        <v>4271</v>
      </c>
      <c r="M88" s="288" t="s">
        <v>5590</v>
      </c>
      <c r="Q88" s="167">
        <v>863944</v>
      </c>
      <c r="R88" s="166" t="s">
        <v>4397</v>
      </c>
      <c r="S88" s="166">
        <f>S87-62</f>
        <v>894</v>
      </c>
      <c r="T88" s="188" t="s">
        <v>4458</v>
      </c>
      <c r="U88" s="166">
        <v>184.6</v>
      </c>
      <c r="V88" s="166">
        <f t="shared" ref="V88:V102" si="34">U88*(1+$R$112+$Q$15*S88/36500)</f>
        <v>314.00611726027398</v>
      </c>
      <c r="W88" s="32">
        <f t="shared" ref="W88:W95" si="35">V88*(1+$W$19/100)</f>
        <v>320.28623960547947</v>
      </c>
      <c r="X88" s="32">
        <f t="shared" ref="X88:X95" si="36">V88*(1+$X$19/100)</f>
        <v>326.56636195068495</v>
      </c>
      <c r="Y88" s="94">
        <v>4661</v>
      </c>
      <c r="AA88" s="113"/>
      <c r="AB88" s="113"/>
      <c r="AC88" s="126"/>
      <c r="AD88" s="113"/>
      <c r="AE88" s="113"/>
      <c r="AF88" s="113"/>
      <c r="AH88" s="20">
        <v>68</v>
      </c>
      <c r="AI88" s="115" t="s">
        <v>4402</v>
      </c>
      <c r="AJ88" s="115">
        <v>-907489</v>
      </c>
      <c r="AK88" s="20">
        <v>0</v>
      </c>
      <c r="AL88" s="97">
        <f>AL89+AK88</f>
        <v>786</v>
      </c>
      <c r="AM88" s="115">
        <f t="shared" si="10"/>
        <v>-713286354</v>
      </c>
      <c r="AN88" s="20"/>
      <c r="AP88" t="s">
        <v>25</v>
      </c>
      <c r="AV88" t="s">
        <v>25</v>
      </c>
    </row>
    <row r="89" spans="4:52">
      <c r="D89" s="32" t="s">
        <v>317</v>
      </c>
      <c r="E89" s="1">
        <v>50000</v>
      </c>
      <c r="K89" t="s">
        <v>25</v>
      </c>
      <c r="M89" s="190"/>
      <c r="Q89" s="167">
        <v>1692313</v>
      </c>
      <c r="R89" s="166" t="s">
        <v>4461</v>
      </c>
      <c r="S89" s="194">
        <f>S88-21</f>
        <v>873</v>
      </c>
      <c r="T89" s="187" t="s">
        <v>4462</v>
      </c>
      <c r="U89" s="166">
        <v>168.5</v>
      </c>
      <c r="V89" s="166">
        <f t="shared" si="34"/>
        <v>283.90541917808218</v>
      </c>
      <c r="W89" s="32">
        <f t="shared" si="35"/>
        <v>289.58352756164385</v>
      </c>
      <c r="X89" s="32">
        <f t="shared" si="36"/>
        <v>295.26163594520546</v>
      </c>
      <c r="Y89" s="94">
        <v>10000</v>
      </c>
      <c r="AA89" s="113"/>
      <c r="AB89" s="113"/>
      <c r="AC89" s="113" t="s">
        <v>25</v>
      </c>
      <c r="AD89" s="113"/>
      <c r="AE89" s="113"/>
      <c r="AF89" s="113"/>
      <c r="AG89" s="113"/>
      <c r="AH89" s="20">
        <v>69</v>
      </c>
      <c r="AI89" s="115" t="s">
        <v>4402</v>
      </c>
      <c r="AJ89" s="115">
        <v>2450000</v>
      </c>
      <c r="AK89" s="20">
        <v>1</v>
      </c>
      <c r="AL89" s="97">
        <f t="shared" si="32"/>
        <v>786</v>
      </c>
      <c r="AM89" s="115">
        <f t="shared" si="10"/>
        <v>1925700000</v>
      </c>
      <c r="AN89" s="20" t="s">
        <v>4433</v>
      </c>
      <c r="AQ89" t="s">
        <v>25</v>
      </c>
      <c r="AR89" t="s">
        <v>25</v>
      </c>
    </row>
    <row r="90" spans="4:52">
      <c r="D90" s="32" t="s">
        <v>327</v>
      </c>
      <c r="E90" s="1">
        <v>150000</v>
      </c>
      <c r="F90" s="94"/>
      <c r="G90" s="94"/>
      <c r="H90" s="94"/>
      <c r="K90" s="94"/>
      <c r="Q90" s="167">
        <v>101153</v>
      </c>
      <c r="R90" s="166" t="s">
        <v>4464</v>
      </c>
      <c r="S90" s="194">
        <f>S89-1</f>
        <v>872</v>
      </c>
      <c r="T90" s="187" t="s">
        <v>4466</v>
      </c>
      <c r="U90" s="166">
        <v>166.7</v>
      </c>
      <c r="V90" s="166">
        <f t="shared" si="34"/>
        <v>280.74472219178085</v>
      </c>
      <c r="W90" s="32">
        <f t="shared" si="35"/>
        <v>286.35961663561648</v>
      </c>
      <c r="X90" s="32">
        <f t="shared" si="36"/>
        <v>291.9745110794521</v>
      </c>
      <c r="Y90" s="94">
        <v>604</v>
      </c>
      <c r="AA90" s="120" t="s">
        <v>25</v>
      </c>
      <c r="AB90" s="113"/>
      <c r="AC90" s="113"/>
      <c r="AD90" s="113"/>
      <c r="AE90"/>
      <c r="AG90" s="113"/>
      <c r="AH90" s="20">
        <v>70</v>
      </c>
      <c r="AI90" s="115" t="s">
        <v>4435</v>
      </c>
      <c r="AJ90" s="115">
        <v>1500000</v>
      </c>
      <c r="AK90" s="20">
        <v>1</v>
      </c>
      <c r="AL90" s="97">
        <f t="shared" si="32"/>
        <v>785</v>
      </c>
      <c r="AM90" s="115">
        <f t="shared" si="10"/>
        <v>1177500000</v>
      </c>
      <c r="AN90" s="20"/>
      <c r="AP90" t="s">
        <v>25</v>
      </c>
      <c r="AU90" s="94" t="s">
        <v>25</v>
      </c>
    </row>
    <row r="91" spans="4:52">
      <c r="D91" s="32" t="s">
        <v>318</v>
      </c>
      <c r="E91" s="1">
        <v>15000</v>
      </c>
      <c r="F91" s="94"/>
      <c r="G91" s="94"/>
      <c r="H91" s="94"/>
      <c r="I91" s="94"/>
      <c r="J91" s="94" t="s">
        <v>25</v>
      </c>
      <c r="K91" s="94"/>
      <c r="Q91" s="167">
        <v>183105</v>
      </c>
      <c r="R91" s="166" t="s">
        <v>4207</v>
      </c>
      <c r="S91" s="194">
        <f>S90-1</f>
        <v>871</v>
      </c>
      <c r="T91" s="187" t="s">
        <v>4470</v>
      </c>
      <c r="U91" s="166">
        <v>166.6</v>
      </c>
      <c r="V91" s="166">
        <f t="shared" si="34"/>
        <v>280.44850630136983</v>
      </c>
      <c r="W91" s="32">
        <f t="shared" si="35"/>
        <v>286.05747642739726</v>
      </c>
      <c r="X91" s="32">
        <f t="shared" si="36"/>
        <v>291.66644655342463</v>
      </c>
      <c r="Y91" s="94">
        <v>1094</v>
      </c>
      <c r="AA91" s="113" t="s">
        <v>25</v>
      </c>
      <c r="AE91"/>
      <c r="AG91" s="94"/>
      <c r="AH91" s="20">
        <v>71</v>
      </c>
      <c r="AI91" s="115" t="s">
        <v>4441</v>
      </c>
      <c r="AJ91" s="115">
        <v>2648000</v>
      </c>
      <c r="AK91" s="20">
        <v>1</v>
      </c>
      <c r="AL91" s="97">
        <f t="shared" si="32"/>
        <v>784</v>
      </c>
      <c r="AM91" s="115">
        <f t="shared" si="10"/>
        <v>2076032000</v>
      </c>
      <c r="AN91" s="20" t="s">
        <v>4442</v>
      </c>
      <c r="AU91" s="94" t="s">
        <v>25</v>
      </c>
    </row>
    <row r="92" spans="4:52">
      <c r="D92" s="32" t="s">
        <v>319</v>
      </c>
      <c r="E92" s="1">
        <v>20000</v>
      </c>
      <c r="F92" s="94"/>
      <c r="G92" s="94"/>
      <c r="H92" s="94"/>
      <c r="I92" s="94"/>
      <c r="J92" s="94" t="s">
        <v>25</v>
      </c>
      <c r="K92" s="94"/>
      <c r="Q92" s="167">
        <v>168846</v>
      </c>
      <c r="R92" s="166" t="s">
        <v>3675</v>
      </c>
      <c r="S92" s="194">
        <f>S91-30</f>
        <v>841</v>
      </c>
      <c r="T92" s="187" t="s">
        <v>4552</v>
      </c>
      <c r="U92" s="166">
        <v>172.2</v>
      </c>
      <c r="V92" s="166">
        <f t="shared" si="34"/>
        <v>285.91238794520547</v>
      </c>
      <c r="W92" s="32">
        <f t="shared" si="35"/>
        <v>291.63063570410958</v>
      </c>
      <c r="X92" s="32">
        <f t="shared" si="36"/>
        <v>297.34888346301369</v>
      </c>
      <c r="Y92" s="94">
        <v>976</v>
      </c>
      <c r="AA92" s="113"/>
      <c r="AE92"/>
      <c r="AG92" s="94"/>
      <c r="AH92" s="20">
        <v>72</v>
      </c>
      <c r="AI92" s="115" t="s">
        <v>4208</v>
      </c>
      <c r="AJ92" s="115">
        <v>615000</v>
      </c>
      <c r="AK92" s="20">
        <v>4</v>
      </c>
      <c r="AL92" s="97">
        <f t="shared" si="32"/>
        <v>783</v>
      </c>
      <c r="AM92" s="115">
        <f t="shared" si="10"/>
        <v>481545000</v>
      </c>
      <c r="AN92" s="20"/>
      <c r="AV92" t="s">
        <v>25</v>
      </c>
    </row>
    <row r="93" spans="4:52">
      <c r="D93" s="32" t="s">
        <v>320</v>
      </c>
      <c r="E93" s="1">
        <v>40000</v>
      </c>
      <c r="F93" s="94"/>
      <c r="G93" s="94"/>
      <c r="H93" s="94"/>
      <c r="I93" s="94"/>
      <c r="J93" s="94"/>
      <c r="K93" s="94"/>
      <c r="M93" s="94"/>
      <c r="Q93" s="167">
        <v>19918023</v>
      </c>
      <c r="R93" s="5" t="s">
        <v>4778</v>
      </c>
      <c r="S93" s="194">
        <f>S92-75</f>
        <v>766</v>
      </c>
      <c r="T93" s="187" t="s">
        <v>4780</v>
      </c>
      <c r="U93" s="207">
        <v>183</v>
      </c>
      <c r="V93" s="207">
        <f t="shared" si="34"/>
        <v>293.3154082191781</v>
      </c>
      <c r="W93" s="32">
        <f t="shared" si="35"/>
        <v>299.18171638356165</v>
      </c>
      <c r="X93" s="32">
        <f t="shared" si="36"/>
        <v>305.0480245479452</v>
      </c>
      <c r="Y93" s="94">
        <v>108344</v>
      </c>
      <c r="Z93" s="113"/>
      <c r="AA93" s="113"/>
      <c r="AE93"/>
      <c r="AG93" s="94"/>
      <c r="AH93" s="20">
        <v>73</v>
      </c>
      <c r="AI93" s="115" t="s">
        <v>4452</v>
      </c>
      <c r="AJ93" s="115">
        <v>14000000</v>
      </c>
      <c r="AK93" s="20">
        <v>2</v>
      </c>
      <c r="AL93" s="97">
        <f>AL94+AK93</f>
        <v>779</v>
      </c>
      <c r="AM93" s="115">
        <f t="shared" si="10"/>
        <v>10906000000</v>
      </c>
      <c r="AN93" s="20"/>
    </row>
    <row r="94" spans="4:52">
      <c r="D94" s="32" t="s">
        <v>322</v>
      </c>
      <c r="E94" s="1">
        <v>150000</v>
      </c>
      <c r="F94" s="94"/>
      <c r="G94" s="94"/>
      <c r="H94" s="94"/>
      <c r="I94" s="94"/>
      <c r="J94" s="94" t="s">
        <v>25</v>
      </c>
      <c r="K94" s="94"/>
      <c r="L94" s="94"/>
      <c r="M94" s="94"/>
      <c r="Q94" s="167">
        <v>1200301</v>
      </c>
      <c r="R94" s="19" t="s">
        <v>4860</v>
      </c>
      <c r="S94" s="194">
        <f>S93-34</f>
        <v>732</v>
      </c>
      <c r="T94" s="187" t="s">
        <v>4862</v>
      </c>
      <c r="U94" s="207">
        <v>218.5</v>
      </c>
      <c r="V94" s="207">
        <f t="shared" si="34"/>
        <v>344.51643287671232</v>
      </c>
      <c r="W94" s="32">
        <f t="shared" si="35"/>
        <v>351.40676153424658</v>
      </c>
      <c r="X94" s="32">
        <f t="shared" si="36"/>
        <v>358.2970901917808</v>
      </c>
      <c r="Y94" s="94">
        <v>5468</v>
      </c>
      <c r="Z94" s="113"/>
      <c r="AA94" s="113"/>
      <c r="AH94" s="20">
        <v>74</v>
      </c>
      <c r="AI94" s="115" t="s">
        <v>4456</v>
      </c>
      <c r="AJ94" s="115">
        <v>1313000</v>
      </c>
      <c r="AK94" s="20">
        <v>0</v>
      </c>
      <c r="AL94" s="97">
        <f>AL95+AK94</f>
        <v>777</v>
      </c>
      <c r="AM94" s="115">
        <f t="shared" si="10"/>
        <v>1020201000</v>
      </c>
      <c r="AN94" s="20"/>
      <c r="AQ94" t="s">
        <v>25</v>
      </c>
    </row>
    <row r="95" spans="4:52">
      <c r="D95" s="32" t="s">
        <v>324</v>
      </c>
      <c r="E95" s="1">
        <v>75000</v>
      </c>
      <c r="F95" s="94"/>
      <c r="G95" s="94"/>
      <c r="H95" s="94"/>
      <c r="I95" s="94"/>
      <c r="J95" s="94"/>
      <c r="K95" s="94"/>
      <c r="L95" s="94"/>
      <c r="Q95" s="167">
        <v>5837196.2537021004</v>
      </c>
      <c r="R95" s="19" t="s">
        <v>4884</v>
      </c>
      <c r="S95" s="194">
        <f>S94-16</f>
        <v>716</v>
      </c>
      <c r="T95" s="187" t="s">
        <v>5620</v>
      </c>
      <c r="U95" s="207">
        <v>196.2</v>
      </c>
      <c r="V95" s="207">
        <f t="shared" si="34"/>
        <v>306.94710575342464</v>
      </c>
      <c r="W95" s="32">
        <f t="shared" si="35"/>
        <v>313.08604786849315</v>
      </c>
      <c r="X95" s="32">
        <f t="shared" si="36"/>
        <v>319.22498998356161</v>
      </c>
      <c r="Y95" s="94">
        <v>29619</v>
      </c>
      <c r="Z95" s="113"/>
      <c r="AA95" s="113"/>
      <c r="AH95" s="97">
        <v>75</v>
      </c>
      <c r="AI95" s="111" t="s">
        <v>4456</v>
      </c>
      <c r="AJ95" s="111">
        <v>2269000</v>
      </c>
      <c r="AK95" s="97">
        <v>1</v>
      </c>
      <c r="AL95" s="97">
        <f t="shared" ref="AL95:AL120" si="37">AL96+AK95</f>
        <v>777</v>
      </c>
      <c r="AM95" s="115">
        <f t="shared" si="10"/>
        <v>1763013000</v>
      </c>
      <c r="AN95" s="97"/>
    </row>
    <row r="96" spans="4:52">
      <c r="D96" s="32" t="s">
        <v>314</v>
      </c>
      <c r="E96" s="1">
        <v>140000</v>
      </c>
      <c r="F96" s="94"/>
      <c r="G96" s="94"/>
      <c r="H96" s="94"/>
      <c r="I96" s="94" t="s">
        <v>25</v>
      </c>
      <c r="J96" s="94" t="s">
        <v>25</v>
      </c>
      <c r="K96" s="94"/>
      <c r="Q96" s="167">
        <v>2948152</v>
      </c>
      <c r="R96" s="19" t="s">
        <v>5656</v>
      </c>
      <c r="S96" s="194">
        <f>S95-498</f>
        <v>218</v>
      </c>
      <c r="T96" s="187" t="s">
        <v>5657</v>
      </c>
      <c r="U96" s="207">
        <v>1550</v>
      </c>
      <c r="V96" s="207">
        <f t="shared" si="34"/>
        <v>1832.7709589041099</v>
      </c>
      <c r="W96" s="32">
        <f t="shared" ref="W96:W107" si="38">V96*(1+$W$19/100)</f>
        <v>1869.4263780821921</v>
      </c>
      <c r="X96" s="32">
        <f t="shared" ref="X96:X107" si="39">V96*(1+$X$19/100)</f>
        <v>1906.0817972602742</v>
      </c>
      <c r="Y96" s="94">
        <v>1895</v>
      </c>
      <c r="AH96" s="97">
        <v>76</v>
      </c>
      <c r="AI96" s="111" t="s">
        <v>4209</v>
      </c>
      <c r="AJ96" s="111">
        <v>750000</v>
      </c>
      <c r="AK96" s="97">
        <v>4</v>
      </c>
      <c r="AL96" s="97">
        <f t="shared" si="37"/>
        <v>776</v>
      </c>
      <c r="AM96" s="115">
        <f t="shared" si="10"/>
        <v>582000000</v>
      </c>
      <c r="AN96" s="97"/>
      <c r="AQ96" t="s">
        <v>25</v>
      </c>
    </row>
    <row r="97" spans="4:47">
      <c r="D97" s="2" t="s">
        <v>477</v>
      </c>
      <c r="E97" s="3">
        <v>1083333</v>
      </c>
      <c r="F97" s="94"/>
      <c r="G97" s="94"/>
      <c r="H97" s="94"/>
      <c r="I97" s="94"/>
      <c r="J97" s="94"/>
      <c r="K97" s="94"/>
      <c r="Q97" s="167"/>
      <c r="R97" s="19" t="s">
        <v>5764</v>
      </c>
      <c r="S97" s="194">
        <f>S96-83</f>
        <v>135</v>
      </c>
      <c r="T97" s="187" t="s">
        <v>5766</v>
      </c>
      <c r="U97" s="207">
        <v>1275</v>
      </c>
      <c r="V97" s="207">
        <f t="shared" si="34"/>
        <v>1426.4210958904109</v>
      </c>
      <c r="W97" s="32">
        <f t="shared" si="38"/>
        <v>1454.9495178082191</v>
      </c>
      <c r="X97" s="32">
        <f t="shared" si="39"/>
        <v>1483.4779397260274</v>
      </c>
      <c r="Y97" s="94">
        <v>48654</v>
      </c>
      <c r="AH97" s="97">
        <v>77</v>
      </c>
      <c r="AI97" s="111" t="s">
        <v>4461</v>
      </c>
      <c r="AJ97" s="111">
        <v>1900000</v>
      </c>
      <c r="AK97" s="97">
        <v>3</v>
      </c>
      <c r="AL97" s="97">
        <f t="shared" si="37"/>
        <v>772</v>
      </c>
      <c r="AM97" s="115">
        <f t="shared" si="10"/>
        <v>1466800000</v>
      </c>
      <c r="AN97" s="97"/>
    </row>
    <row r="98" spans="4:47">
      <c r="D98" s="2"/>
      <c r="E98" s="3"/>
      <c r="F98" s="94"/>
      <c r="G98" s="94"/>
      <c r="H98" s="94"/>
      <c r="I98" s="94" t="s">
        <v>25</v>
      </c>
      <c r="J98" s="94" t="s">
        <v>25</v>
      </c>
      <c r="K98" s="94"/>
      <c r="Q98" s="167"/>
      <c r="R98" s="19" t="s">
        <v>5774</v>
      </c>
      <c r="S98" s="194">
        <f>S97-5</f>
        <v>130</v>
      </c>
      <c r="T98" s="187" t="s">
        <v>5776</v>
      </c>
      <c r="U98" s="207">
        <v>1210</v>
      </c>
      <c r="V98" s="207">
        <f t="shared" si="34"/>
        <v>1349.060493150685</v>
      </c>
      <c r="W98" s="32">
        <f t="shared" si="38"/>
        <v>1376.0417030136987</v>
      </c>
      <c r="X98" s="32">
        <f t="shared" si="39"/>
        <v>1403.0229128767126</v>
      </c>
      <c r="Y98" s="94">
        <v>450</v>
      </c>
      <c r="Z98" s="94"/>
      <c r="AA98" s="94"/>
      <c r="AH98" s="97">
        <v>78</v>
      </c>
      <c r="AI98" s="111" t="s">
        <v>4474</v>
      </c>
      <c r="AJ98" s="111">
        <v>6400000</v>
      </c>
      <c r="AK98" s="97">
        <v>1</v>
      </c>
      <c r="AL98" s="97">
        <f t="shared" si="37"/>
        <v>769</v>
      </c>
      <c r="AM98" s="115">
        <f t="shared" si="10"/>
        <v>4921600000</v>
      </c>
      <c r="AN98" s="97"/>
    </row>
    <row r="99" spans="4:47">
      <c r="D99" s="2"/>
      <c r="E99" s="3"/>
      <c r="F99" s="94"/>
      <c r="G99" s="94"/>
      <c r="H99" s="94"/>
      <c r="I99" s="94"/>
      <c r="J99" s="94"/>
      <c r="K99" s="94"/>
      <c r="M99" s="94" t="s">
        <v>25</v>
      </c>
      <c r="Q99" s="167"/>
      <c r="R99" s="19" t="s">
        <v>5781</v>
      </c>
      <c r="S99" s="194">
        <f>S98-4</f>
        <v>126</v>
      </c>
      <c r="T99" s="187" t="s">
        <v>5782</v>
      </c>
      <c r="U99" s="207">
        <v>1175</v>
      </c>
      <c r="V99" s="207">
        <f t="shared" si="34"/>
        <v>1306.4326027397262</v>
      </c>
      <c r="W99" s="32">
        <f t="shared" si="38"/>
        <v>1332.5612547945209</v>
      </c>
      <c r="X99" s="32">
        <f t="shared" si="39"/>
        <v>1358.6899068493153</v>
      </c>
      <c r="Y99" s="94">
        <v>27754</v>
      </c>
      <c r="Z99" s="94"/>
      <c r="AA99" s="94"/>
      <c r="AH99" s="97">
        <v>79</v>
      </c>
      <c r="AI99" s="111" t="s">
        <v>4472</v>
      </c>
      <c r="AJ99" s="111">
        <v>5000</v>
      </c>
      <c r="AK99" s="97">
        <v>5</v>
      </c>
      <c r="AL99" s="97">
        <f t="shared" si="37"/>
        <v>768</v>
      </c>
      <c r="AM99" s="115">
        <f t="shared" si="10"/>
        <v>3840000</v>
      </c>
      <c r="AN99" s="97"/>
      <c r="AP99" t="s">
        <v>25</v>
      </c>
    </row>
    <row r="100" spans="4:47">
      <c r="D100" s="2" t="s">
        <v>6</v>
      </c>
      <c r="E100" s="3">
        <f>SUM(E77:E98)</f>
        <v>3383333</v>
      </c>
      <c r="F100" s="94"/>
      <c r="G100" s="94"/>
      <c r="H100" s="94"/>
      <c r="I100" s="94"/>
      <c r="J100" s="94" t="s">
        <v>25</v>
      </c>
      <c r="K100" s="94"/>
      <c r="M100" s="94"/>
      <c r="Q100" s="167"/>
      <c r="R100" s="19" t="s">
        <v>5783</v>
      </c>
      <c r="S100" s="194">
        <f>S99-3</f>
        <v>123</v>
      </c>
      <c r="T100" s="187" t="s">
        <v>5786</v>
      </c>
      <c r="U100" s="207">
        <v>1148</v>
      </c>
      <c r="V100" s="207">
        <f t="shared" si="34"/>
        <v>1273.7704767123291</v>
      </c>
      <c r="W100" s="32">
        <f t="shared" si="38"/>
        <v>1299.2458862465758</v>
      </c>
      <c r="X100" s="32">
        <f t="shared" si="39"/>
        <v>1324.7212957808224</v>
      </c>
      <c r="Y100" s="94">
        <v>8020</v>
      </c>
      <c r="Z100" s="94"/>
      <c r="AA100" s="94"/>
      <c r="AH100" s="97">
        <v>80</v>
      </c>
      <c r="AI100" s="111" t="s">
        <v>4500</v>
      </c>
      <c r="AJ100" s="111">
        <v>-1750148</v>
      </c>
      <c r="AK100" s="97">
        <v>1</v>
      </c>
      <c r="AL100" s="97">
        <f t="shared" si="37"/>
        <v>763</v>
      </c>
      <c r="AM100" s="115">
        <f t="shared" si="10"/>
        <v>-1335362924</v>
      </c>
      <c r="AN100" s="97"/>
    </row>
    <row r="101" spans="4:47">
      <c r="D101" s="2" t="s">
        <v>328</v>
      </c>
      <c r="E101" s="3">
        <f>E100/30</f>
        <v>112777.76666666666</v>
      </c>
      <c r="F101" s="94"/>
      <c r="G101" s="94"/>
      <c r="H101" s="94"/>
      <c r="I101" s="94"/>
      <c r="J101" s="94" t="s">
        <v>25</v>
      </c>
      <c r="K101" s="112"/>
      <c r="L101" s="94"/>
      <c r="M101" s="94"/>
      <c r="Q101" s="167"/>
      <c r="R101" s="19" t="s">
        <v>5789</v>
      </c>
      <c r="S101" s="194">
        <f>S100-1</f>
        <v>122</v>
      </c>
      <c r="T101" s="187" t="s">
        <v>5790</v>
      </c>
      <c r="U101" s="207">
        <v>1141</v>
      </c>
      <c r="V101" s="207">
        <f t="shared" si="34"/>
        <v>1265.128295890411</v>
      </c>
      <c r="W101" s="32">
        <f t="shared" si="38"/>
        <v>1290.4308618082193</v>
      </c>
      <c r="X101" s="32">
        <f t="shared" si="39"/>
        <v>1315.7334277260275</v>
      </c>
      <c r="Y101" s="94">
        <v>3695</v>
      </c>
      <c r="Z101" s="94"/>
      <c r="AA101" s="94"/>
      <c r="AH101" s="97">
        <v>81</v>
      </c>
      <c r="AI101" s="111" t="s">
        <v>4503</v>
      </c>
      <c r="AJ101" s="111">
        <v>400000</v>
      </c>
      <c r="AK101" s="97">
        <v>0</v>
      </c>
      <c r="AL101" s="97">
        <f t="shared" si="37"/>
        <v>762</v>
      </c>
      <c r="AM101" s="115">
        <f t="shared" si="10"/>
        <v>304800000</v>
      </c>
      <c r="AN101" s="97"/>
    </row>
    <row r="102" spans="4:47">
      <c r="F102" s="94"/>
      <c r="G102" s="94"/>
      <c r="H102" s="94"/>
      <c r="I102" s="94"/>
      <c r="J102" s="94" t="s">
        <v>25</v>
      </c>
      <c r="K102" s="94"/>
      <c r="L102" s="94"/>
      <c r="M102" s="94"/>
      <c r="Q102" s="167"/>
      <c r="R102" s="19" t="s">
        <v>5787</v>
      </c>
      <c r="S102" s="194">
        <f>S101-1</f>
        <v>121</v>
      </c>
      <c r="T102" s="187" t="s">
        <v>5791</v>
      </c>
      <c r="U102" s="207">
        <v>1171</v>
      </c>
      <c r="V102" s="207">
        <f t="shared" si="34"/>
        <v>1297.4936657534249</v>
      </c>
      <c r="W102" s="32">
        <f t="shared" si="38"/>
        <v>1323.4435390684935</v>
      </c>
      <c r="X102" s="32">
        <f t="shared" si="39"/>
        <v>1349.393412383562</v>
      </c>
      <c r="Y102" s="94">
        <v>58152</v>
      </c>
      <c r="AH102" s="97">
        <v>82</v>
      </c>
      <c r="AI102" s="111" t="s">
        <v>4503</v>
      </c>
      <c r="AJ102" s="111">
        <v>-2105421</v>
      </c>
      <c r="AK102" s="97">
        <v>1</v>
      </c>
      <c r="AL102" s="97">
        <f t="shared" si="37"/>
        <v>762</v>
      </c>
      <c r="AM102" s="115">
        <f t="shared" si="10"/>
        <v>-1604330802</v>
      </c>
      <c r="AN102" s="97"/>
      <c r="AO102" t="s">
        <v>25</v>
      </c>
    </row>
    <row r="103" spans="4:47">
      <c r="F103" s="94"/>
      <c r="G103" s="94"/>
      <c r="H103" s="94"/>
      <c r="I103" s="94"/>
      <c r="J103" s="94" t="s">
        <v>25</v>
      </c>
      <c r="K103" t="s">
        <v>25</v>
      </c>
      <c r="L103" s="94"/>
      <c r="M103" s="94"/>
      <c r="Q103" s="167"/>
      <c r="R103" s="19" t="s">
        <v>5856</v>
      </c>
      <c r="S103" s="194">
        <f>S102-65</f>
        <v>56</v>
      </c>
      <c r="T103" s="187" t="s">
        <v>5857</v>
      </c>
      <c r="U103" s="207"/>
      <c r="V103" s="207"/>
      <c r="W103" s="32"/>
      <c r="X103" s="32"/>
      <c r="Y103" s="94"/>
      <c r="Z103" s="94">
        <v>26860</v>
      </c>
      <c r="AA103" s="94"/>
      <c r="AH103" s="97">
        <v>83</v>
      </c>
      <c r="AI103" s="111" t="s">
        <v>4506</v>
      </c>
      <c r="AJ103" s="111">
        <v>-5527618</v>
      </c>
      <c r="AK103" s="97">
        <v>0</v>
      </c>
      <c r="AL103" s="97">
        <f t="shared" si="37"/>
        <v>761</v>
      </c>
      <c r="AM103" s="115">
        <f t="shared" si="10"/>
        <v>-4206517298</v>
      </c>
      <c r="AN103" s="97"/>
    </row>
    <row r="104" spans="4:47">
      <c r="J104" t="s">
        <v>25</v>
      </c>
      <c r="Q104" s="167"/>
      <c r="R104" s="19" t="s">
        <v>6469</v>
      </c>
      <c r="S104" s="194">
        <f>S103-41</f>
        <v>15</v>
      </c>
      <c r="T104" s="187" t="s">
        <v>6476</v>
      </c>
      <c r="U104" s="207"/>
      <c r="V104" s="207"/>
      <c r="W104" s="32"/>
      <c r="X104" s="32"/>
      <c r="Y104" s="94"/>
      <c r="Z104" s="94"/>
      <c r="AA104" s="94"/>
      <c r="AH104" s="97">
        <v>84</v>
      </c>
      <c r="AI104" s="111" t="s">
        <v>4506</v>
      </c>
      <c r="AJ104" s="111">
        <v>3900000</v>
      </c>
      <c r="AK104" s="97">
        <v>3</v>
      </c>
      <c r="AL104" s="97">
        <f t="shared" si="37"/>
        <v>761</v>
      </c>
      <c r="AM104" s="115">
        <f t="shared" si="10"/>
        <v>2967900000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37"/>
        <v>758</v>
      </c>
      <c r="AM105" s="115">
        <f t="shared" si="10"/>
        <v>-3009073532</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c r="W106" s="32"/>
      <c r="X106" s="32"/>
      <c r="Y106" s="94"/>
      <c r="Z106" s="94"/>
      <c r="AA106" s="94"/>
      <c r="AH106" s="97">
        <v>86</v>
      </c>
      <c r="AI106" s="111" t="s">
        <v>4517</v>
      </c>
      <c r="AJ106" s="111">
        <v>-25574455</v>
      </c>
      <c r="AK106" s="97">
        <v>0</v>
      </c>
      <c r="AL106" s="97">
        <f t="shared" si="37"/>
        <v>757</v>
      </c>
      <c r="AM106" s="115">
        <f t="shared" si="10"/>
        <v>-19359862435</v>
      </c>
      <c r="AN106" s="97"/>
      <c r="AP106" t="s">
        <v>25</v>
      </c>
    </row>
    <row r="107" spans="4:47">
      <c r="F107" s="196">
        <f>$L$115/G107</f>
        <v>10373.443983402489</v>
      </c>
      <c r="G107" s="196">
        <f>P50</f>
        <v>964</v>
      </c>
      <c r="H107" s="196" t="s">
        <v>4704</v>
      </c>
      <c r="I107" s="196" t="s">
        <v>5299</v>
      </c>
      <c r="J107" s="208" t="s">
        <v>4219</v>
      </c>
      <c r="K107" s="196">
        <v>210</v>
      </c>
      <c r="L107" s="209">
        <f t="shared" ref="L107:L112" si="40">K107*$L$115</f>
        <v>2100000000</v>
      </c>
      <c r="M107" s="209">
        <f>N21+N31+N50+N44</f>
        <v>7084059076</v>
      </c>
      <c r="N107" s="181">
        <f t="shared" ref="N107:N112" si="41">L107-M107</f>
        <v>-4984059076</v>
      </c>
      <c r="P107" s="94"/>
      <c r="Q107" s="167"/>
      <c r="R107" s="166"/>
      <c r="S107" s="111"/>
      <c r="T107" s="111"/>
      <c r="U107" s="166" t="s">
        <v>25</v>
      </c>
      <c r="V107" s="207" t="e">
        <f>U107*(1+$R$112+$Q$15*S107/36500)</f>
        <v>#VALUE!</v>
      </c>
      <c r="W107" s="32" t="e">
        <f t="shared" si="38"/>
        <v>#VALUE!</v>
      </c>
      <c r="X107" s="32" t="e">
        <f t="shared" si="39"/>
        <v>#VALUE!</v>
      </c>
      <c r="Z107" t="s">
        <v>25</v>
      </c>
      <c r="AB107" s="94"/>
      <c r="AH107" s="97">
        <v>87</v>
      </c>
      <c r="AI107" s="111" t="s">
        <v>4517</v>
      </c>
      <c r="AJ107" s="111">
        <v>4000000</v>
      </c>
      <c r="AK107" s="97">
        <v>1</v>
      </c>
      <c r="AL107" s="97">
        <f t="shared" si="37"/>
        <v>757</v>
      </c>
      <c r="AM107" s="115">
        <f t="shared" si="10"/>
        <v>3028000000</v>
      </c>
      <c r="AN107" s="97"/>
    </row>
    <row r="108" spans="4:47">
      <c r="F108" s="207">
        <v>0</v>
      </c>
      <c r="G108" s="207">
        <f>P49</f>
        <v>21500</v>
      </c>
      <c r="H108" s="207" t="s">
        <v>4863</v>
      </c>
      <c r="I108" s="207" t="s">
        <v>5300</v>
      </c>
      <c r="J108" s="32" t="s">
        <v>4361</v>
      </c>
      <c r="K108" s="207">
        <v>33</v>
      </c>
      <c r="L108" s="1">
        <f t="shared" si="40"/>
        <v>330000000</v>
      </c>
      <c r="M108" s="1">
        <f>N49+N28+N22</f>
        <v>33061910</v>
      </c>
      <c r="N108" s="111">
        <f t="shared" si="41"/>
        <v>296938090</v>
      </c>
      <c r="P108" s="94"/>
      <c r="Q108" s="111">
        <f>SUM(N28:N31)-SUM(Q87:Q107)</f>
        <v>317287526.7462979</v>
      </c>
      <c r="R108" s="166"/>
      <c r="S108" s="166"/>
      <c r="T108" s="166"/>
      <c r="U108" s="166"/>
      <c r="V108" s="166"/>
      <c r="W108" s="32"/>
      <c r="X108" s="32"/>
      <c r="AA108" t="s">
        <v>25</v>
      </c>
      <c r="AB108" s="94"/>
      <c r="AH108" s="97">
        <v>88</v>
      </c>
      <c r="AI108" s="111" t="s">
        <v>979</v>
      </c>
      <c r="AJ108" s="111">
        <v>-5000000</v>
      </c>
      <c r="AK108" s="97">
        <v>2</v>
      </c>
      <c r="AL108" s="97">
        <f t="shared" si="37"/>
        <v>756</v>
      </c>
      <c r="AM108" s="115">
        <f t="shared" si="10"/>
        <v>-3780000000</v>
      </c>
      <c r="AN108" s="97"/>
    </row>
    <row r="109" spans="4:47">
      <c r="F109" s="196">
        <v>0</v>
      </c>
      <c r="G109" s="196">
        <f>P48</f>
        <v>14500</v>
      </c>
      <c r="H109" s="196" t="s">
        <v>4979</v>
      </c>
      <c r="I109" s="196" t="s">
        <v>5301</v>
      </c>
      <c r="J109" s="208" t="s">
        <v>4357</v>
      </c>
      <c r="K109" s="196">
        <v>0</v>
      </c>
      <c r="L109" s="209">
        <f t="shared" si="40"/>
        <v>0</v>
      </c>
      <c r="M109" s="209">
        <f>N48+N24</f>
        <v>42224000</v>
      </c>
      <c r="N109" s="181">
        <f t="shared" si="41"/>
        <v>-42224000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37"/>
        <v>754</v>
      </c>
      <c r="AM109" s="115">
        <f t="shared" si="10"/>
        <v>7540000000</v>
      </c>
      <c r="AN109" s="97"/>
    </row>
    <row r="110" spans="4:47">
      <c r="F110" s="187"/>
      <c r="G110" s="187"/>
      <c r="H110" s="187"/>
      <c r="I110" s="187"/>
      <c r="J110" s="265" t="s">
        <v>5302</v>
      </c>
      <c r="K110" s="187">
        <v>0</v>
      </c>
      <c r="L110" s="266">
        <f t="shared" si="40"/>
        <v>0</v>
      </c>
      <c r="M110" s="266">
        <f>N20+N27+N42</f>
        <v>366209</v>
      </c>
      <c r="N110" s="186">
        <f t="shared" si="41"/>
        <v>-366209</v>
      </c>
      <c r="P110" s="94"/>
      <c r="Q110" s="97" t="s">
        <v>934</v>
      </c>
      <c r="R110" s="97">
        <v>1.03E-2</v>
      </c>
      <c r="S110" s="26" t="s">
        <v>25</v>
      </c>
      <c r="T110" t="s">
        <v>25</v>
      </c>
      <c r="U110" s="94" t="s">
        <v>25</v>
      </c>
      <c r="V110" s="113" t="s">
        <v>25</v>
      </c>
      <c r="W110" s="191" t="s">
        <v>25</v>
      </c>
      <c r="X110" s="191"/>
      <c r="Z110" t="s">
        <v>25</v>
      </c>
      <c r="AC110" t="s">
        <v>25</v>
      </c>
      <c r="AH110" s="97">
        <v>90</v>
      </c>
      <c r="AI110" s="111" t="s">
        <v>4523</v>
      </c>
      <c r="AJ110" s="111">
        <v>-5241937</v>
      </c>
      <c r="AK110" s="97">
        <v>0</v>
      </c>
      <c r="AL110" s="97">
        <f t="shared" si="37"/>
        <v>750</v>
      </c>
      <c r="AM110" s="115">
        <f t="shared" si="10"/>
        <v>-3931452750</v>
      </c>
      <c r="AN110" s="97"/>
    </row>
    <row r="111" spans="4:47">
      <c r="F111" s="196"/>
      <c r="G111" s="196"/>
      <c r="H111" s="196"/>
      <c r="I111" s="196"/>
      <c r="J111" s="208" t="s">
        <v>314</v>
      </c>
      <c r="K111" s="196">
        <v>1</v>
      </c>
      <c r="L111" s="209">
        <f t="shared" si="40"/>
        <v>10000000</v>
      </c>
      <c r="M111" s="209">
        <v>0</v>
      </c>
      <c r="N111" s="181">
        <f t="shared" si="41"/>
        <v>10000000</v>
      </c>
      <c r="P111" t="s">
        <v>25</v>
      </c>
      <c r="Q111" s="97" t="s">
        <v>61</v>
      </c>
      <c r="R111" s="97">
        <v>4.8999999999999998E-3</v>
      </c>
      <c r="T111" s="112" t="s">
        <v>25</v>
      </c>
      <c r="U111" s="94" t="s">
        <v>25</v>
      </c>
      <c r="V111" t="s">
        <v>25</v>
      </c>
      <c r="W111" s="191" t="s">
        <v>25</v>
      </c>
      <c r="X111" s="191" t="s">
        <v>25</v>
      </c>
      <c r="Y111" s="94"/>
      <c r="Z111" s="94"/>
      <c r="AA111" s="94"/>
      <c r="AH111" s="97">
        <v>91</v>
      </c>
      <c r="AI111" s="111" t="s">
        <v>4523</v>
      </c>
      <c r="AJ111" s="111">
        <v>21900000</v>
      </c>
      <c r="AK111" s="97">
        <v>2</v>
      </c>
      <c r="AL111" s="97">
        <f t="shared" si="37"/>
        <v>750</v>
      </c>
      <c r="AM111" s="115">
        <f t="shared" si="10"/>
        <v>16425000000</v>
      </c>
      <c r="AN111" s="97"/>
      <c r="AP111" t="s">
        <v>25</v>
      </c>
      <c r="AU111"/>
    </row>
    <row r="112" spans="4:47">
      <c r="F112" s="189"/>
      <c r="G112" s="189"/>
      <c r="H112" s="189"/>
      <c r="I112" s="189"/>
      <c r="J112" s="239" t="s">
        <v>5408</v>
      </c>
      <c r="K112" s="189">
        <v>467</v>
      </c>
      <c r="L112" s="240">
        <f t="shared" si="40"/>
        <v>4670000000</v>
      </c>
      <c r="M112" s="240">
        <v>0</v>
      </c>
      <c r="N112" s="84">
        <f t="shared" si="41"/>
        <v>4670000000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37"/>
        <v>748</v>
      </c>
      <c r="AM112" s="115">
        <f t="shared" si="10"/>
        <v>-11220000000</v>
      </c>
      <c r="AN112" s="97"/>
      <c r="AO112" t="s">
        <v>25</v>
      </c>
    </row>
    <row r="113" spans="6:46">
      <c r="F113" s="207"/>
      <c r="G113" s="207"/>
      <c r="H113" s="207"/>
      <c r="I113" s="207"/>
      <c r="J113" s="32" t="s">
        <v>4679</v>
      </c>
      <c r="K113" s="207"/>
      <c r="L113" s="1"/>
      <c r="M113" s="1"/>
      <c r="N113" s="111">
        <f>20000000-L43</f>
        <v>32629364</v>
      </c>
      <c r="O113" t="s">
        <v>25</v>
      </c>
      <c r="P113" t="s">
        <v>25</v>
      </c>
      <c r="W113" s="191"/>
      <c r="X113" s="191"/>
      <c r="AA113" t="s">
        <v>25</v>
      </c>
      <c r="AH113" s="97">
        <v>93</v>
      </c>
      <c r="AI113" s="111" t="s">
        <v>4530</v>
      </c>
      <c r="AJ113" s="111">
        <v>3000000</v>
      </c>
      <c r="AK113" s="97">
        <v>1</v>
      </c>
      <c r="AL113" s="97">
        <f t="shared" si="37"/>
        <v>748</v>
      </c>
      <c r="AM113" s="115">
        <f t="shared" si="10"/>
        <v>2244000000</v>
      </c>
      <c r="AN113" s="97"/>
    </row>
    <row r="114" spans="6:46" ht="30">
      <c r="F114" s="196"/>
      <c r="G114" s="196"/>
      <c r="H114" s="196"/>
      <c r="I114" s="196"/>
      <c r="J114" s="208" t="s">
        <v>4998</v>
      </c>
      <c r="K114" s="196">
        <f>SUM(K107:K112)</f>
        <v>711</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37"/>
        <v>747</v>
      </c>
      <c r="AM114" s="115">
        <f t="shared" si="10"/>
        <v>-1571490792</v>
      </c>
      <c r="AN114" s="97"/>
    </row>
    <row r="115" spans="6:46">
      <c r="F115" s="207"/>
      <c r="G115" s="207"/>
      <c r="H115" s="207" t="s">
        <v>25</v>
      </c>
      <c r="I115" s="207"/>
      <c r="J115" s="32"/>
      <c r="K115" s="207">
        <v>0</v>
      </c>
      <c r="L115" s="39">
        <f>10*P54</f>
        <v>10000000</v>
      </c>
      <c r="M115" s="1">
        <f>K115*L115</f>
        <v>0</v>
      </c>
      <c r="N115" s="111">
        <f>SUM(N107:N113)-M115</f>
        <v>-17081831</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37"/>
        <v>747</v>
      </c>
      <c r="AM115" s="115">
        <f t="shared" si="10"/>
        <v>164340000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956</v>
      </c>
      <c r="T116" s="5" t="s">
        <v>5587</v>
      </c>
      <c r="U116" s="166">
        <v>192</v>
      </c>
      <c r="V116" s="97">
        <f t="shared" ref="V116:V150" si="42">U116*(1+$R$112+$Q$15*S116/36500)</f>
        <v>335.72541369863018</v>
      </c>
      <c r="W116" s="32">
        <f t="shared" ref="W116" si="43">V116*(1+$W$19/100)</f>
        <v>342.4399219726028</v>
      </c>
      <c r="X116" s="32">
        <f t="shared" ref="X116" si="44">V116*(1+$X$19/100)</f>
        <v>349.15443024657537</v>
      </c>
      <c r="Y116" s="94">
        <v>200000</v>
      </c>
      <c r="AH116" s="97">
        <v>96</v>
      </c>
      <c r="AI116" s="111" t="s">
        <v>4542</v>
      </c>
      <c r="AJ116" s="111">
        <v>4000000</v>
      </c>
      <c r="AK116" s="97">
        <v>1</v>
      </c>
      <c r="AL116" s="97">
        <f t="shared" si="37"/>
        <v>744</v>
      </c>
      <c r="AM116" s="115">
        <f t="shared" si="10"/>
        <v>2976000000</v>
      </c>
      <c r="AN116" s="97"/>
    </row>
    <row r="117" spans="6:46">
      <c r="F117" s="207"/>
      <c r="G117" s="207"/>
      <c r="H117" s="207"/>
      <c r="I117" s="207"/>
      <c r="J117" s="32" t="s">
        <v>4601</v>
      </c>
      <c r="K117" s="207"/>
      <c r="L117" s="1"/>
      <c r="M117" s="1"/>
      <c r="N117" s="111"/>
      <c r="Q117" s="167">
        <v>433201621</v>
      </c>
      <c r="R117" s="207" t="s">
        <v>5592</v>
      </c>
      <c r="S117" s="207">
        <f>S116-695</f>
        <v>261</v>
      </c>
      <c r="T117" s="207" t="s">
        <v>5599</v>
      </c>
      <c r="U117" s="207">
        <v>1995.5</v>
      </c>
      <c r="V117" s="97">
        <f t="shared" si="42"/>
        <v>2425.3689698630142</v>
      </c>
      <c r="W117" s="32">
        <f t="shared" ref="W117:W118" si="45">V117*(1+$W$19/100)</f>
        <v>2473.8763492602743</v>
      </c>
      <c r="X117" s="32">
        <f t="shared" ref="X117:X118" si="46">V117*(1+$X$19/100)</f>
        <v>2522.3837286575349</v>
      </c>
      <c r="Y117">
        <v>216287</v>
      </c>
      <c r="Z117" t="s">
        <v>25</v>
      </c>
      <c r="AH117" s="97">
        <v>97</v>
      </c>
      <c r="AI117" s="111" t="s">
        <v>4546</v>
      </c>
      <c r="AJ117" s="111">
        <v>-9000000</v>
      </c>
      <c r="AK117" s="97">
        <v>0</v>
      </c>
      <c r="AL117" s="97">
        <f t="shared" si="37"/>
        <v>743</v>
      </c>
      <c r="AM117" s="115">
        <f t="shared" si="10"/>
        <v>-6687000000</v>
      </c>
      <c r="AN117" s="97"/>
      <c r="AP117" t="s">
        <v>25</v>
      </c>
    </row>
    <row r="118" spans="6:46">
      <c r="M118" t="s">
        <v>25</v>
      </c>
      <c r="Q118" s="167">
        <v>8201348.2384272004</v>
      </c>
      <c r="R118" s="207" t="s">
        <v>5595</v>
      </c>
      <c r="S118" s="207">
        <f>S117-5</f>
        <v>256</v>
      </c>
      <c r="T118" s="207" t="s">
        <v>5648</v>
      </c>
      <c r="U118" s="207">
        <v>1751</v>
      </c>
      <c r="V118" s="97">
        <f t="shared" si="42"/>
        <v>2121.4828164383562</v>
      </c>
      <c r="W118" s="32">
        <f t="shared" si="45"/>
        <v>2163.9124727671233</v>
      </c>
      <c r="X118" s="32">
        <f t="shared" si="46"/>
        <v>2206.3421290958904</v>
      </c>
      <c r="Y118">
        <v>4667</v>
      </c>
      <c r="AH118" s="97">
        <v>98</v>
      </c>
      <c r="AI118" s="111" t="s">
        <v>4546</v>
      </c>
      <c r="AJ118" s="111">
        <v>13900000</v>
      </c>
      <c r="AK118" s="97">
        <v>2</v>
      </c>
      <c r="AL118" s="97">
        <f t="shared" si="37"/>
        <v>743</v>
      </c>
      <c r="AM118" s="115">
        <f t="shared" si="10"/>
        <v>10327700000</v>
      </c>
      <c r="AN118" s="97"/>
    </row>
    <row r="119" spans="6:46">
      <c r="G119" s="94" t="s">
        <v>25</v>
      </c>
      <c r="H119" s="94"/>
      <c r="I119" s="94"/>
      <c r="J119" s="94"/>
      <c r="P119" s="112"/>
      <c r="Q119" s="167">
        <v>106896832</v>
      </c>
      <c r="R119" s="207" t="s">
        <v>5650</v>
      </c>
      <c r="S119" s="207">
        <f>S118-36</f>
        <v>220</v>
      </c>
      <c r="T119" s="207" t="s">
        <v>5651</v>
      </c>
      <c r="U119" s="207">
        <v>1715</v>
      </c>
      <c r="V119" s="97">
        <f t="shared" si="42"/>
        <v>2030.5036164383564</v>
      </c>
      <c r="W119" s="32">
        <f t="shared" ref="W119" si="47">V119*(1+$W$19/100)</f>
        <v>2071.1136887671237</v>
      </c>
      <c r="X119" s="32">
        <f t="shared" ref="X119" si="48">V119*(1+$X$19/100)</f>
        <v>2111.7237610958909</v>
      </c>
      <c r="Y119" s="94">
        <v>62100</v>
      </c>
      <c r="Z119" t="s">
        <v>25</v>
      </c>
      <c r="AH119" s="97">
        <v>99</v>
      </c>
      <c r="AI119" s="111" t="s">
        <v>4550</v>
      </c>
      <c r="AJ119" s="111">
        <v>-8127577</v>
      </c>
      <c r="AK119" s="97">
        <v>1</v>
      </c>
      <c r="AL119" s="97">
        <f t="shared" si="37"/>
        <v>741</v>
      </c>
      <c r="AM119" s="115">
        <f t="shared" si="10"/>
        <v>-6022534557</v>
      </c>
      <c r="AN119" s="97"/>
      <c r="AO119" t="s">
        <v>25</v>
      </c>
      <c r="AQ119" t="s">
        <v>25</v>
      </c>
    </row>
    <row r="120" spans="6:46">
      <c r="G120" s="94"/>
      <c r="H120" s="94"/>
      <c r="I120" s="94"/>
      <c r="J120" s="94"/>
      <c r="K120" s="166" t="s">
        <v>4485</v>
      </c>
      <c r="L120" s="166" t="s">
        <v>4486</v>
      </c>
      <c r="M120" s="166" t="s">
        <v>4395</v>
      </c>
      <c r="N120" s="54" t="s">
        <v>190</v>
      </c>
      <c r="Q120" s="167">
        <v>455942528</v>
      </c>
      <c r="R120" s="207" t="s">
        <v>5652</v>
      </c>
      <c r="S120" s="207">
        <f>S119-1</f>
        <v>219</v>
      </c>
      <c r="T120" s="207" t="s">
        <v>5654</v>
      </c>
      <c r="U120" s="207">
        <v>1631</v>
      </c>
      <c r="V120" s="97">
        <f t="shared" si="42"/>
        <v>1929.7992000000002</v>
      </c>
      <c r="W120" s="32">
        <f t="shared" ref="W120:W121" si="49">V120*(1+$W$19/100)</f>
        <v>1968.3951840000002</v>
      </c>
      <c r="X120" s="32">
        <f t="shared" ref="X120:X121" si="50">V120*(1+$X$19/100)</f>
        <v>2006.9911680000002</v>
      </c>
      <c r="Y120">
        <v>278514</v>
      </c>
      <c r="AA120" t="s">
        <v>25</v>
      </c>
      <c r="AH120" s="97">
        <v>100</v>
      </c>
      <c r="AI120" s="111" t="s">
        <v>3675</v>
      </c>
      <c r="AJ120" s="111">
        <v>15792549</v>
      </c>
      <c r="AK120" s="97">
        <v>3</v>
      </c>
      <c r="AL120" s="97">
        <f t="shared" si="37"/>
        <v>740</v>
      </c>
      <c r="AM120" s="115">
        <f t="shared" si="10"/>
        <v>11686486260</v>
      </c>
      <c r="AN120" s="97"/>
      <c r="AO120" t="s">
        <v>25</v>
      </c>
      <c r="AP120" t="s">
        <v>25</v>
      </c>
    </row>
    <row r="121" spans="6:46">
      <c r="G121" s="94"/>
      <c r="H121" s="94"/>
      <c r="I121" s="94"/>
      <c r="J121" s="94"/>
      <c r="K121" s="166" t="s">
        <v>4219</v>
      </c>
      <c r="L121" s="167">
        <v>1100000</v>
      </c>
      <c r="M121" s="167">
        <v>1637000</v>
      </c>
      <c r="N121" s="166">
        <f t="shared" ref="N121:N129" si="51">(M121-L121)*100/L121</f>
        <v>48.81818181818182</v>
      </c>
      <c r="Q121" s="167">
        <v>834999909.33089697</v>
      </c>
      <c r="R121" s="207" t="s">
        <v>5656</v>
      </c>
      <c r="S121" s="207">
        <f>S120-1</f>
        <v>218</v>
      </c>
      <c r="T121" s="207" t="s">
        <v>5675</v>
      </c>
      <c r="U121" s="207">
        <v>1567.4</v>
      </c>
      <c r="V121" s="97">
        <f t="shared" si="42"/>
        <v>1853.3452909589043</v>
      </c>
      <c r="W121" s="32">
        <f t="shared" si="49"/>
        <v>1890.4121967780825</v>
      </c>
      <c r="X121" s="32">
        <f t="shared" si="50"/>
        <v>1927.4791025972606</v>
      </c>
      <c r="Y121">
        <v>530747</v>
      </c>
      <c r="AH121" s="97">
        <v>101</v>
      </c>
      <c r="AI121" s="111" t="s">
        <v>4554</v>
      </c>
      <c r="AJ121" s="111">
        <v>8800000</v>
      </c>
      <c r="AK121" s="97">
        <v>0</v>
      </c>
      <c r="AL121" s="97">
        <f t="shared" ref="AL121:AL126" si="52">AL122+AK121</f>
        <v>737</v>
      </c>
      <c r="AM121" s="115">
        <f t="shared" ref="AM121:AM144" si="53">AJ121*AL121</f>
        <v>6485600000</v>
      </c>
      <c r="AN121" s="97"/>
      <c r="AP121" t="s">
        <v>25</v>
      </c>
    </row>
    <row r="122" spans="6:46" ht="17.25" customHeight="1">
      <c r="F122" s="94"/>
      <c r="G122" s="94"/>
      <c r="H122" s="94"/>
      <c r="I122" s="94"/>
      <c r="J122" s="94"/>
      <c r="K122" s="5" t="s">
        <v>4480</v>
      </c>
      <c r="L122" s="167">
        <v>1100000</v>
      </c>
      <c r="M122" s="167">
        <v>4748000</v>
      </c>
      <c r="N122" s="166">
        <f t="shared" si="51"/>
        <v>331.63636363636363</v>
      </c>
      <c r="Q122" s="167"/>
      <c r="R122" s="207" t="s">
        <v>5676</v>
      </c>
      <c r="S122" s="207">
        <f>S121-13</f>
        <v>205</v>
      </c>
      <c r="T122" s="207" t="s">
        <v>5677</v>
      </c>
      <c r="U122" s="207"/>
      <c r="V122" s="97">
        <f t="shared" si="42"/>
        <v>0</v>
      </c>
      <c r="W122" s="32">
        <f t="shared" ref="W122:W124" si="54">V122*(1+$W$19/100)</f>
        <v>0</v>
      </c>
      <c r="X122" s="32">
        <f t="shared" ref="X122:X124" si="55">V122*(1+$X$19/100)</f>
        <v>0</v>
      </c>
      <c r="Y122" s="94">
        <v>83532</v>
      </c>
      <c r="Z122" s="94"/>
      <c r="AA122" s="94"/>
      <c r="AH122" s="119">
        <v>102</v>
      </c>
      <c r="AI122" s="77" t="s">
        <v>4554</v>
      </c>
      <c r="AJ122" s="77">
        <v>13071612</v>
      </c>
      <c r="AK122" s="119">
        <v>1</v>
      </c>
      <c r="AL122" s="119">
        <f t="shared" si="52"/>
        <v>737</v>
      </c>
      <c r="AM122" s="77">
        <f t="shared" si="53"/>
        <v>9633778044</v>
      </c>
      <c r="AN122" s="201" t="s">
        <v>4555</v>
      </c>
    </row>
    <row r="123" spans="6:46">
      <c r="F123" s="94"/>
      <c r="G123" s="94"/>
      <c r="H123" s="94"/>
      <c r="I123" s="94"/>
      <c r="J123" s="94"/>
      <c r="K123" s="5" t="s">
        <v>4481</v>
      </c>
      <c r="L123" s="167">
        <v>1100000</v>
      </c>
      <c r="M123" s="167">
        <v>5137000</v>
      </c>
      <c r="N123" s="166">
        <f t="shared" si="51"/>
        <v>367</v>
      </c>
      <c r="Q123" s="167" t="s">
        <v>25</v>
      </c>
      <c r="R123" s="207" t="s">
        <v>5678</v>
      </c>
      <c r="S123" s="207">
        <f>S122-1</f>
        <v>204</v>
      </c>
      <c r="T123" s="207" t="s">
        <v>5679</v>
      </c>
      <c r="U123" s="207"/>
      <c r="V123" s="97">
        <f t="shared" si="42"/>
        <v>0</v>
      </c>
      <c r="W123" s="32">
        <f t="shared" si="54"/>
        <v>0</v>
      </c>
      <c r="X123" s="32">
        <f t="shared" si="55"/>
        <v>0</v>
      </c>
      <c r="Y123" s="94">
        <v>807014</v>
      </c>
      <c r="Z123" s="94"/>
      <c r="AA123" s="94"/>
      <c r="AH123" s="87">
        <v>103</v>
      </c>
      <c r="AI123" s="88" t="s">
        <v>4558</v>
      </c>
      <c r="AJ123" s="88">
        <v>16727037</v>
      </c>
      <c r="AK123" s="87">
        <v>0</v>
      </c>
      <c r="AL123" s="87">
        <f t="shared" si="52"/>
        <v>736</v>
      </c>
      <c r="AM123" s="88">
        <f t="shared" si="53"/>
        <v>12311099232</v>
      </c>
      <c r="AN123" s="87" t="s">
        <v>4565</v>
      </c>
    </row>
    <row r="124" spans="6:46">
      <c r="F124" s="94"/>
      <c r="G124" s="97"/>
      <c r="H124" s="97" t="s">
        <v>5699</v>
      </c>
      <c r="I124" s="91" t="s">
        <v>5705</v>
      </c>
      <c r="J124" s="1">
        <v>130000000</v>
      </c>
      <c r="K124" s="291" t="s">
        <v>4357</v>
      </c>
      <c r="L124" s="167">
        <v>1100000</v>
      </c>
      <c r="M124" s="167">
        <v>4300000</v>
      </c>
      <c r="N124" s="166">
        <f t="shared" si="51"/>
        <v>290.90909090909093</v>
      </c>
      <c r="Q124" s="167"/>
      <c r="R124" s="207" t="s">
        <v>5680</v>
      </c>
      <c r="S124" s="207">
        <f>S123-1</f>
        <v>203</v>
      </c>
      <c r="T124" s="207" t="s">
        <v>5732</v>
      </c>
      <c r="U124" s="207"/>
      <c r="V124" s="97">
        <f t="shared" si="42"/>
        <v>0</v>
      </c>
      <c r="W124" s="32">
        <f t="shared" si="54"/>
        <v>0</v>
      </c>
      <c r="X124" s="32">
        <f t="shared" si="55"/>
        <v>0</v>
      </c>
      <c r="Y124" s="94">
        <v>399790</v>
      </c>
      <c r="Z124" s="94"/>
      <c r="AA124" s="94"/>
      <c r="AH124" s="97">
        <v>104</v>
      </c>
      <c r="AI124" s="111" t="s">
        <v>4558</v>
      </c>
      <c r="AJ124" s="111">
        <v>12000000</v>
      </c>
      <c r="AK124" s="97">
        <v>1</v>
      </c>
      <c r="AL124" s="97">
        <f t="shared" si="52"/>
        <v>736</v>
      </c>
      <c r="AM124" s="115">
        <f t="shared" si="53"/>
        <v>8832000000</v>
      </c>
      <c r="AN124" s="97" t="s">
        <v>4566</v>
      </c>
    </row>
    <row r="125" spans="6:46">
      <c r="F125" s="94"/>
      <c r="G125" s="97">
        <f>P50</f>
        <v>964</v>
      </c>
      <c r="H125" s="97" t="s">
        <v>4219</v>
      </c>
      <c r="I125" s="97">
        <v>51250</v>
      </c>
      <c r="J125" s="1">
        <f>I125*G125</f>
        <v>49405000</v>
      </c>
      <c r="K125" s="292" t="s">
        <v>4374</v>
      </c>
      <c r="L125" s="167">
        <v>1100000</v>
      </c>
      <c r="M125" s="167">
        <v>3191000</v>
      </c>
      <c r="N125" s="166">
        <f t="shared" si="51"/>
        <v>190.09090909090909</v>
      </c>
      <c r="Q125" s="167"/>
      <c r="R125" s="207" t="s">
        <v>5737</v>
      </c>
      <c r="S125" s="207">
        <f>S124-53</f>
        <v>150</v>
      </c>
      <c r="T125" s="207" t="s">
        <v>5738</v>
      </c>
      <c r="U125" s="207">
        <v>1500</v>
      </c>
      <c r="V125" s="97">
        <f t="shared" si="42"/>
        <v>1695.4027397260274</v>
      </c>
      <c r="W125" s="32">
        <f t="shared" ref="W125:W143" si="56">V125*(1+$W$19/100)</f>
        <v>1729.3107945205479</v>
      </c>
      <c r="X125" s="32">
        <f t="shared" ref="X125:X143" si="57">V125*(1+$X$19/100)</f>
        <v>1763.2188493150686</v>
      </c>
      <c r="Y125" s="94">
        <v>268413</v>
      </c>
      <c r="Z125" s="94"/>
      <c r="AA125" s="94"/>
      <c r="AH125" s="87">
        <v>105</v>
      </c>
      <c r="AI125" s="88" t="s">
        <v>4496</v>
      </c>
      <c r="AJ125" s="88">
        <v>88697667</v>
      </c>
      <c r="AK125" s="87">
        <v>1</v>
      </c>
      <c r="AL125" s="87">
        <f t="shared" si="52"/>
        <v>735</v>
      </c>
      <c r="AM125" s="88">
        <f t="shared" si="53"/>
        <v>65192785245</v>
      </c>
      <c r="AN125" s="87" t="s">
        <v>4567</v>
      </c>
      <c r="AP125" t="s">
        <v>25</v>
      </c>
    </row>
    <row r="126" spans="6:46">
      <c r="F126" s="94"/>
      <c r="G126" s="97">
        <f>P48</f>
        <v>14500</v>
      </c>
      <c r="H126" s="97" t="s">
        <v>4357</v>
      </c>
      <c r="I126" s="97">
        <v>6709</v>
      </c>
      <c r="J126" s="1">
        <f>I126*G126</f>
        <v>97280500</v>
      </c>
      <c r="K126" s="292" t="s">
        <v>4482</v>
      </c>
      <c r="L126" s="167">
        <v>1100000</v>
      </c>
      <c r="M126" s="167">
        <v>5623000</v>
      </c>
      <c r="N126" s="166">
        <f t="shared" si="51"/>
        <v>411.18181818181819</v>
      </c>
      <c r="Q126" s="167"/>
      <c r="R126" s="207" t="s">
        <v>5739</v>
      </c>
      <c r="S126" s="207">
        <f>S125-1</f>
        <v>149</v>
      </c>
      <c r="T126" s="207" t="s">
        <v>5740</v>
      </c>
      <c r="U126" s="207">
        <v>1440</v>
      </c>
      <c r="V126" s="97">
        <f t="shared" si="42"/>
        <v>1626.4819726027399</v>
      </c>
      <c r="W126" s="32">
        <f t="shared" si="56"/>
        <v>1659.0116120547948</v>
      </c>
      <c r="X126" s="32">
        <f t="shared" si="57"/>
        <v>1691.5412515068497</v>
      </c>
      <c r="Y126" s="94">
        <v>682</v>
      </c>
      <c r="Z126" s="94"/>
      <c r="AA126" s="94"/>
      <c r="AH126" s="97">
        <v>106</v>
      </c>
      <c r="AI126" s="111" t="s">
        <v>4499</v>
      </c>
      <c r="AJ126" s="111">
        <v>101000</v>
      </c>
      <c r="AK126" s="97">
        <v>0</v>
      </c>
      <c r="AL126" s="97">
        <f t="shared" si="52"/>
        <v>734</v>
      </c>
      <c r="AM126" s="115">
        <f t="shared" si="53"/>
        <v>74134000</v>
      </c>
      <c r="AN126" s="97"/>
      <c r="AQ126" t="s">
        <v>25</v>
      </c>
    </row>
    <row r="127" spans="6:46">
      <c r="F127" s="94"/>
      <c r="G127" s="97"/>
      <c r="H127" s="97"/>
      <c r="I127" s="97" t="s">
        <v>25</v>
      </c>
      <c r="J127" s="1">
        <v>0</v>
      </c>
      <c r="K127" s="291" t="s">
        <v>4361</v>
      </c>
      <c r="L127" s="167">
        <v>1100000</v>
      </c>
      <c r="M127" s="167">
        <v>7728000</v>
      </c>
      <c r="N127" s="166">
        <f t="shared" si="51"/>
        <v>602.5454545454545</v>
      </c>
      <c r="Q127" s="167"/>
      <c r="R127" s="207" t="s">
        <v>5741</v>
      </c>
      <c r="S127" s="207">
        <f>S126-1</f>
        <v>148</v>
      </c>
      <c r="T127" s="207" t="s">
        <v>5742</v>
      </c>
      <c r="U127" s="207">
        <v>1362</v>
      </c>
      <c r="V127" s="97">
        <f t="shared" si="42"/>
        <v>1537.3360438356165</v>
      </c>
      <c r="W127" s="32">
        <f t="shared" si="56"/>
        <v>1568.0827647123288</v>
      </c>
      <c r="X127" s="32">
        <f t="shared" si="57"/>
        <v>1598.8294855890413</v>
      </c>
      <c r="Y127" s="94">
        <v>99554</v>
      </c>
      <c r="Z127" s="94"/>
      <c r="AA127" s="94"/>
      <c r="AB127" s="94"/>
      <c r="AH127" s="147">
        <v>107</v>
      </c>
      <c r="AI127" s="186" t="s">
        <v>4564</v>
      </c>
      <c r="AJ127" s="186">
        <v>-48200</v>
      </c>
      <c r="AK127" s="147">
        <v>0</v>
      </c>
      <c r="AL127" s="147">
        <f t="shared" ref="AL127:AL177" si="58">AL128+AK127</f>
        <v>734</v>
      </c>
      <c r="AM127" s="186">
        <f t="shared" si="53"/>
        <v>-35378800</v>
      </c>
      <c r="AN127" s="147" t="s">
        <v>4570</v>
      </c>
    </row>
    <row r="128" spans="6:46">
      <c r="F128" s="94"/>
      <c r="G128" s="97"/>
      <c r="H128" s="97"/>
      <c r="I128" s="97"/>
      <c r="J128" s="1">
        <v>0</v>
      </c>
      <c r="K128" s="292" t="s">
        <v>4484</v>
      </c>
      <c r="L128" s="167">
        <v>1100000</v>
      </c>
      <c r="M128" s="167">
        <v>2904000</v>
      </c>
      <c r="N128" s="166">
        <f t="shared" si="51"/>
        <v>164</v>
      </c>
      <c r="Q128" s="167"/>
      <c r="R128" s="207" t="s">
        <v>5748</v>
      </c>
      <c r="S128" s="207">
        <f>S127-1</f>
        <v>147</v>
      </c>
      <c r="T128" s="207" t="s">
        <v>5749</v>
      </c>
      <c r="U128" s="207">
        <v>1330</v>
      </c>
      <c r="V128" s="97">
        <f t="shared" si="42"/>
        <v>1500.196273972603</v>
      </c>
      <c r="W128" s="32">
        <f t="shared" si="56"/>
        <v>1530.2001994520551</v>
      </c>
      <c r="X128" s="32">
        <f t="shared" si="57"/>
        <v>1560.2041249315071</v>
      </c>
      <c r="Y128" s="94">
        <v>11986</v>
      </c>
      <c r="Z128" s="94"/>
      <c r="AA128" s="94"/>
      <c r="AB128" s="94"/>
      <c r="AH128" s="87">
        <v>108</v>
      </c>
      <c r="AI128" s="88" t="s">
        <v>4564</v>
      </c>
      <c r="AJ128" s="88">
        <v>39327293</v>
      </c>
      <c r="AK128" s="87">
        <v>4</v>
      </c>
      <c r="AL128" s="147">
        <f t="shared" si="58"/>
        <v>734</v>
      </c>
      <c r="AM128" s="186">
        <f t="shared" si="53"/>
        <v>28866233062</v>
      </c>
      <c r="AN128" s="87" t="s">
        <v>4571</v>
      </c>
    </row>
    <row r="129" spans="7:43">
      <c r="G129" s="97"/>
      <c r="H129" s="97" t="s">
        <v>938</v>
      </c>
      <c r="I129" s="148">
        <f>J125+J126+J127+J128-J124</f>
        <v>16685500</v>
      </c>
      <c r="J129" s="1">
        <v>0</v>
      </c>
      <c r="K129" s="245" t="s">
        <v>1070</v>
      </c>
      <c r="L129" s="167">
        <v>1100000</v>
      </c>
      <c r="M129" s="167">
        <v>3400000</v>
      </c>
      <c r="N129" s="166">
        <f t="shared" si="51"/>
        <v>209.09090909090909</v>
      </c>
      <c r="Q129" s="167"/>
      <c r="R129" s="207" t="s">
        <v>5753</v>
      </c>
      <c r="S129" s="207">
        <f>S128-4</f>
        <v>143</v>
      </c>
      <c r="T129" s="207" t="s">
        <v>5754</v>
      </c>
      <c r="U129" s="207">
        <v>1390</v>
      </c>
      <c r="V129" s="97">
        <f t="shared" si="42"/>
        <v>1563.609095890411</v>
      </c>
      <c r="W129" s="32">
        <f t="shared" si="56"/>
        <v>1594.8812778082192</v>
      </c>
      <c r="X129" s="32">
        <f t="shared" si="57"/>
        <v>1626.1534597260274</v>
      </c>
      <c r="Y129" s="94">
        <v>74000</v>
      </c>
      <c r="Z129" s="94"/>
      <c r="AB129" s="94"/>
      <c r="AH129" s="87">
        <v>109</v>
      </c>
      <c r="AI129" s="88" t="s">
        <v>4585</v>
      </c>
      <c r="AJ129" s="88">
        <v>8749050</v>
      </c>
      <c r="AK129" s="87">
        <v>1</v>
      </c>
      <c r="AL129" s="87">
        <f t="shared" si="58"/>
        <v>730</v>
      </c>
      <c r="AM129" s="88">
        <f t="shared" si="53"/>
        <v>6386806500</v>
      </c>
      <c r="AN129" s="87" t="s">
        <v>4586</v>
      </c>
    </row>
    <row r="130" spans="7:43">
      <c r="K130" s="226" t="s">
        <v>5366</v>
      </c>
      <c r="Q130" s="167"/>
      <c r="R130" s="207" t="s">
        <v>5755</v>
      </c>
      <c r="S130" s="207">
        <f>S129-1</f>
        <v>142</v>
      </c>
      <c r="T130" s="207" t="s">
        <v>5756</v>
      </c>
      <c r="U130" s="207">
        <v>1350</v>
      </c>
      <c r="V130" s="97">
        <f t="shared" si="42"/>
        <v>1517.5775342465754</v>
      </c>
      <c r="W130" s="32">
        <f t="shared" si="56"/>
        <v>1547.9290849315068</v>
      </c>
      <c r="X130" s="32">
        <f t="shared" si="57"/>
        <v>1578.2806356164385</v>
      </c>
      <c r="Y130" s="94">
        <v>78520</v>
      </c>
      <c r="Z130" s="94"/>
      <c r="AA130" s="94"/>
      <c r="AH130" s="97">
        <v>110</v>
      </c>
      <c r="AI130" s="111" t="s">
        <v>4587</v>
      </c>
      <c r="AJ130" s="111">
        <v>60000</v>
      </c>
      <c r="AK130" s="97">
        <v>1</v>
      </c>
      <c r="AL130" s="97">
        <f t="shared" si="58"/>
        <v>729</v>
      </c>
      <c r="AM130" s="115">
        <f t="shared" si="53"/>
        <v>43740000</v>
      </c>
      <c r="AN130" s="97" t="s">
        <v>4588</v>
      </c>
    </row>
    <row r="131" spans="7:43">
      <c r="K131" s="226" t="s">
        <v>4513</v>
      </c>
      <c r="Q131" s="167"/>
      <c r="R131" s="207" t="s">
        <v>5757</v>
      </c>
      <c r="S131" s="207">
        <f>S130-2</f>
        <v>140</v>
      </c>
      <c r="T131" s="207" t="s">
        <v>5758</v>
      </c>
      <c r="U131" s="207">
        <v>1228</v>
      </c>
      <c r="V131" s="97">
        <f t="shared" si="42"/>
        <v>1378.5494356164384</v>
      </c>
      <c r="W131" s="32">
        <f t="shared" si="56"/>
        <v>1406.1204243287671</v>
      </c>
      <c r="X131" s="32">
        <f t="shared" si="57"/>
        <v>1433.691413041096</v>
      </c>
      <c r="Y131" s="94">
        <v>377107</v>
      </c>
      <c r="Z131" s="94"/>
      <c r="AA131" s="94"/>
      <c r="AH131" s="20">
        <v>111</v>
      </c>
      <c r="AI131" s="115" t="s">
        <v>4596</v>
      </c>
      <c r="AJ131" s="115">
        <v>4750000</v>
      </c>
      <c r="AK131" s="20">
        <v>0</v>
      </c>
      <c r="AL131" s="97">
        <f t="shared" si="58"/>
        <v>728</v>
      </c>
      <c r="AM131" s="115">
        <f t="shared" si="53"/>
        <v>3458000000</v>
      </c>
      <c r="AN131" s="20"/>
      <c r="AQ131" t="s">
        <v>25</v>
      </c>
    </row>
    <row r="132" spans="7:43">
      <c r="K132" s="226" t="s">
        <v>4514</v>
      </c>
      <c r="P132" t="s">
        <v>25</v>
      </c>
      <c r="Q132" s="167"/>
      <c r="R132" s="207" t="s">
        <v>5762</v>
      </c>
      <c r="S132" s="207">
        <f>S131-4</f>
        <v>136</v>
      </c>
      <c r="T132" s="207" t="s">
        <v>5763</v>
      </c>
      <c r="U132" s="207">
        <v>1325</v>
      </c>
      <c r="V132" s="97">
        <f t="shared" si="42"/>
        <v>1483.3756164383565</v>
      </c>
      <c r="W132" s="32">
        <f t="shared" si="56"/>
        <v>1513.0431287671236</v>
      </c>
      <c r="X132" s="32">
        <f t="shared" si="57"/>
        <v>1542.7106410958909</v>
      </c>
      <c r="Y132" s="94">
        <v>7170</v>
      </c>
      <c r="Z132" s="94"/>
      <c r="AA132" s="94"/>
      <c r="AC132" t="s">
        <v>25</v>
      </c>
      <c r="AH132" s="87">
        <v>112</v>
      </c>
      <c r="AI132" s="88" t="s">
        <v>4596</v>
      </c>
      <c r="AJ132" s="88">
        <v>13101160</v>
      </c>
      <c r="AK132" s="87">
        <v>1</v>
      </c>
      <c r="AL132" s="87">
        <f t="shared" si="58"/>
        <v>728</v>
      </c>
      <c r="AM132" s="88">
        <f t="shared" si="53"/>
        <v>9537644480</v>
      </c>
      <c r="AN132" s="87" t="s">
        <v>4599</v>
      </c>
    </row>
    <row r="133" spans="7:43">
      <c r="Q133" s="167"/>
      <c r="R133" s="207" t="s">
        <v>5764</v>
      </c>
      <c r="S133" s="207">
        <f>S132-1</f>
        <v>135</v>
      </c>
      <c r="T133" s="207" t="s">
        <v>5811</v>
      </c>
      <c r="U133" s="207">
        <v>1285</v>
      </c>
      <c r="V133" s="97">
        <f t="shared" si="42"/>
        <v>1437.6087123287673</v>
      </c>
      <c r="W133" s="32">
        <f t="shared" si="56"/>
        <v>1466.3608865753426</v>
      </c>
      <c r="X133" s="32">
        <f t="shared" si="57"/>
        <v>1495.113060821918</v>
      </c>
      <c r="Y133" s="94">
        <v>683499</v>
      </c>
      <c r="Z133" s="94"/>
      <c r="AA133" s="94"/>
      <c r="AH133" s="20">
        <v>113</v>
      </c>
      <c r="AI133" s="115" t="s">
        <v>4598</v>
      </c>
      <c r="AJ133" s="115">
        <v>-980000</v>
      </c>
      <c r="AK133" s="20">
        <v>0</v>
      </c>
      <c r="AL133" s="97">
        <f t="shared" si="58"/>
        <v>727</v>
      </c>
      <c r="AM133" s="115">
        <f t="shared" si="53"/>
        <v>-712460000</v>
      </c>
      <c r="AN133" s="20"/>
    </row>
    <row r="134" spans="7:43">
      <c r="Q134" s="167"/>
      <c r="R134" s="207" t="s">
        <v>5806</v>
      </c>
      <c r="S134" s="207">
        <f>S133-56</f>
        <v>79</v>
      </c>
      <c r="T134" s="207" t="s">
        <v>5810</v>
      </c>
      <c r="U134" s="207">
        <v>1354.1</v>
      </c>
      <c r="V134" s="97">
        <f t="shared" si="42"/>
        <v>1456.7444898630138</v>
      </c>
      <c r="W134" s="32">
        <f t="shared" si="56"/>
        <v>1485.879379660274</v>
      </c>
      <c r="X134" s="32">
        <f t="shared" si="57"/>
        <v>1515.0142694575343</v>
      </c>
      <c r="Y134" s="94"/>
      <c r="Z134" s="94">
        <v>22000</v>
      </c>
      <c r="AA134" s="94"/>
      <c r="AH134" s="87">
        <v>114</v>
      </c>
      <c r="AI134" s="88" t="s">
        <v>4598</v>
      </c>
      <c r="AJ134" s="88">
        <v>13301790</v>
      </c>
      <c r="AK134" s="87">
        <v>0</v>
      </c>
      <c r="AL134" s="87">
        <f t="shared" si="58"/>
        <v>727</v>
      </c>
      <c r="AM134" s="88">
        <f t="shared" si="53"/>
        <v>9670401330</v>
      </c>
      <c r="AN134" s="87" t="s">
        <v>4599</v>
      </c>
      <c r="AQ134" t="s">
        <v>25</v>
      </c>
    </row>
    <row r="135" spans="7:43">
      <c r="Q135" s="167"/>
      <c r="R135" s="207" t="s">
        <v>5812</v>
      </c>
      <c r="S135" s="207">
        <f>S134-8</f>
        <v>71</v>
      </c>
      <c r="T135" s="207" t="s">
        <v>5831</v>
      </c>
      <c r="U135" s="207">
        <v>1266</v>
      </c>
      <c r="V135" s="97">
        <f t="shared" si="42"/>
        <v>1354.1968438356166</v>
      </c>
      <c r="W135" s="32">
        <f t="shared" si="56"/>
        <v>1381.280780712329</v>
      </c>
      <c r="X135" s="32">
        <f t="shared" si="57"/>
        <v>1408.3647175890412</v>
      </c>
      <c r="Y135" s="94"/>
      <c r="Z135" s="94">
        <v>62174</v>
      </c>
      <c r="AA135" s="94"/>
      <c r="AH135" s="20">
        <v>115</v>
      </c>
      <c r="AI135" s="115" t="s">
        <v>4598</v>
      </c>
      <c r="AJ135" s="115">
        <v>404000</v>
      </c>
      <c r="AK135" s="20">
        <v>5</v>
      </c>
      <c r="AL135" s="97">
        <f t="shared" si="58"/>
        <v>727</v>
      </c>
      <c r="AM135" s="115">
        <f t="shared" si="53"/>
        <v>293708000</v>
      </c>
      <c r="AN135" s="20" t="s">
        <v>4605</v>
      </c>
    </row>
    <row r="136" spans="7:43">
      <c r="Q136" s="167"/>
      <c r="R136" s="207" t="s">
        <v>5812</v>
      </c>
      <c r="S136" s="207">
        <f>S135</f>
        <v>71</v>
      </c>
      <c r="T136" s="207" t="s">
        <v>5813</v>
      </c>
      <c r="U136" s="207">
        <v>1155</v>
      </c>
      <c r="V136" s="97">
        <f t="shared" si="42"/>
        <v>1235.4639452054796</v>
      </c>
      <c r="W136" s="32">
        <f t="shared" si="56"/>
        <v>1260.1732241095892</v>
      </c>
      <c r="X136" s="32">
        <f t="shared" si="57"/>
        <v>1284.8825030136989</v>
      </c>
      <c r="Y136" s="94">
        <v>16761</v>
      </c>
      <c r="Z136" s="94"/>
      <c r="AA136" s="94"/>
      <c r="AH136" s="87">
        <v>116</v>
      </c>
      <c r="AI136" s="88" t="s">
        <v>4614</v>
      </c>
      <c r="AJ136" s="88">
        <v>4291628</v>
      </c>
      <c r="AK136" s="87">
        <v>2</v>
      </c>
      <c r="AL136" s="87">
        <f t="shared" si="58"/>
        <v>722</v>
      </c>
      <c r="AM136" s="88">
        <f t="shared" si="53"/>
        <v>3098555416</v>
      </c>
      <c r="AN136" s="87" t="s">
        <v>4615</v>
      </c>
    </row>
    <row r="137" spans="7:43">
      <c r="G137" s="207"/>
      <c r="H137" s="207" t="s">
        <v>6502</v>
      </c>
      <c r="I137" s="210" t="s">
        <v>5706</v>
      </c>
      <c r="J137" s="1">
        <v>150000000</v>
      </c>
      <c r="Q137" s="167"/>
      <c r="R137" s="207" t="s">
        <v>5814</v>
      </c>
      <c r="S137" s="207">
        <f>S136-1</f>
        <v>70</v>
      </c>
      <c r="T137" s="207" t="s">
        <v>5815</v>
      </c>
      <c r="U137" s="207">
        <v>1135</v>
      </c>
      <c r="V137" s="97">
        <f t="shared" si="42"/>
        <v>1213.1999452054797</v>
      </c>
      <c r="W137" s="32">
        <f t="shared" si="56"/>
        <v>1237.4639441095894</v>
      </c>
      <c r="X137" s="32">
        <f t="shared" si="57"/>
        <v>1261.7279430136989</v>
      </c>
      <c r="Y137" s="94">
        <v>17544</v>
      </c>
      <c r="Z137" s="94"/>
      <c r="AA137" s="94"/>
      <c r="AC137" t="s">
        <v>25</v>
      </c>
      <c r="AH137" s="20">
        <v>117</v>
      </c>
      <c r="AI137" s="115" t="s">
        <v>4617</v>
      </c>
      <c r="AJ137" s="115">
        <v>1000</v>
      </c>
      <c r="AK137" s="20">
        <v>5</v>
      </c>
      <c r="AL137" s="20">
        <f t="shared" si="58"/>
        <v>720</v>
      </c>
      <c r="AM137" s="115">
        <f t="shared" si="53"/>
        <v>720000</v>
      </c>
      <c r="AN137" s="20"/>
    </row>
    <row r="138" spans="7:43">
      <c r="G138" s="1">
        <f>P50</f>
        <v>964</v>
      </c>
      <c r="H138" s="207" t="s">
        <v>4219</v>
      </c>
      <c r="I138" s="207">
        <v>20000</v>
      </c>
      <c r="J138" s="1">
        <f>G138*I138</f>
        <v>19280000</v>
      </c>
      <c r="Q138" s="167"/>
      <c r="R138" s="207" t="s">
        <v>5822</v>
      </c>
      <c r="S138" s="207">
        <f>S137-3</f>
        <v>67</v>
      </c>
      <c r="T138" s="207" t="s">
        <v>5858</v>
      </c>
      <c r="U138" s="207">
        <v>1114</v>
      </c>
      <c r="V138" s="97">
        <f t="shared" si="42"/>
        <v>1188.1893479452056</v>
      </c>
      <c r="W138" s="32">
        <f t="shared" si="56"/>
        <v>1211.9531349041097</v>
      </c>
      <c r="X138" s="32">
        <f t="shared" si="57"/>
        <v>1235.7169218630138</v>
      </c>
      <c r="Y138" s="94">
        <v>9813</v>
      </c>
      <c r="Z138" s="94"/>
      <c r="AA138" s="94"/>
      <c r="AH138" s="119">
        <v>118</v>
      </c>
      <c r="AI138" s="77" t="s">
        <v>4625</v>
      </c>
      <c r="AJ138" s="77">
        <v>8739459</v>
      </c>
      <c r="AK138" s="119">
        <v>2</v>
      </c>
      <c r="AL138" s="119">
        <f t="shared" si="58"/>
        <v>715</v>
      </c>
      <c r="AM138" s="77">
        <f t="shared" si="53"/>
        <v>6248713185</v>
      </c>
      <c r="AN138" s="119" t="s">
        <v>4586</v>
      </c>
    </row>
    <row r="139" spans="7:43">
      <c r="G139" s="1"/>
      <c r="H139" s="207"/>
      <c r="I139" s="207"/>
      <c r="J139" s="1">
        <f>G139*I139</f>
        <v>0</v>
      </c>
      <c r="P139" t="s">
        <v>25</v>
      </c>
      <c r="Q139" s="167"/>
      <c r="R139" s="207" t="s">
        <v>5832</v>
      </c>
      <c r="S139" s="207">
        <f>S138-9</f>
        <v>58</v>
      </c>
      <c r="T139" s="207" t="s">
        <v>6531</v>
      </c>
      <c r="U139" s="207">
        <v>1275</v>
      </c>
      <c r="V139" s="97">
        <f t="shared" si="42"/>
        <v>1351.1087671232879</v>
      </c>
      <c r="W139" s="32">
        <f t="shared" si="56"/>
        <v>1378.1309424657536</v>
      </c>
      <c r="X139" s="32">
        <f t="shared" si="57"/>
        <v>1405.1531178082193</v>
      </c>
      <c r="Y139" s="94"/>
      <c r="Z139" s="94">
        <v>28095</v>
      </c>
      <c r="AA139" s="94"/>
      <c r="AH139" s="119">
        <v>119</v>
      </c>
      <c r="AI139" s="77" t="s">
        <v>4626</v>
      </c>
      <c r="AJ139" s="77">
        <v>17595278</v>
      </c>
      <c r="AK139" s="119">
        <v>1</v>
      </c>
      <c r="AL139" s="119">
        <f t="shared" si="58"/>
        <v>713</v>
      </c>
      <c r="AM139" s="77">
        <f t="shared" si="53"/>
        <v>12545433214</v>
      </c>
      <c r="AN139" s="119" t="s">
        <v>4628</v>
      </c>
      <c r="AQ139" t="s">
        <v>25</v>
      </c>
    </row>
    <row r="140" spans="7:43">
      <c r="G140" s="207"/>
      <c r="H140" s="207"/>
      <c r="I140" s="207"/>
      <c r="J140" s="1"/>
      <c r="O140" s="94"/>
      <c r="Q140" s="167"/>
      <c r="R140" s="207" t="s">
        <v>5872</v>
      </c>
      <c r="S140" s="207">
        <f>S139-9</f>
        <v>49</v>
      </c>
      <c r="T140" s="207" t="s">
        <v>6517</v>
      </c>
      <c r="U140" s="207">
        <v>1179.0999999999999</v>
      </c>
      <c r="V140" s="97">
        <f t="shared" si="42"/>
        <v>1241.3435583561643</v>
      </c>
      <c r="W140" s="32">
        <f t="shared" si="56"/>
        <v>1266.1704295232876</v>
      </c>
      <c r="X140" s="32">
        <f t="shared" si="57"/>
        <v>1290.9973006904108</v>
      </c>
      <c r="Y140" s="94">
        <v>125306</v>
      </c>
      <c r="Z140" s="94"/>
      <c r="AA140" s="94"/>
      <c r="AH140" s="119">
        <v>120</v>
      </c>
      <c r="AI140" s="77" t="s">
        <v>4627</v>
      </c>
      <c r="AJ140" s="77">
        <v>13335309</v>
      </c>
      <c r="AK140" s="119">
        <v>13</v>
      </c>
      <c r="AL140" s="119">
        <f t="shared" si="58"/>
        <v>712</v>
      </c>
      <c r="AM140" s="77">
        <f t="shared" si="53"/>
        <v>9494740008</v>
      </c>
      <c r="AN140" s="119" t="s">
        <v>4599</v>
      </c>
    </row>
    <row r="141" spans="7:43">
      <c r="G141" s="207"/>
      <c r="H141" s="111"/>
      <c r="I141" s="266">
        <f>J141-J137</f>
        <v>-130720000</v>
      </c>
      <c r="J141" s="1">
        <f>SUM(J138:J139)</f>
        <v>19280000</v>
      </c>
      <c r="K141" t="s">
        <v>25</v>
      </c>
      <c r="Q141" s="167"/>
      <c r="R141" s="207" t="s">
        <v>5885</v>
      </c>
      <c r="S141" s="207">
        <f>S140-17</f>
        <v>32</v>
      </c>
      <c r="T141" s="207" t="s">
        <v>6463</v>
      </c>
      <c r="U141" s="207">
        <v>490</v>
      </c>
      <c r="V141" s="97">
        <f t="shared" si="42"/>
        <v>509.47649315068503</v>
      </c>
      <c r="W141" s="32">
        <f t="shared" si="56"/>
        <v>519.66602301369869</v>
      </c>
      <c r="X141" s="32">
        <f t="shared" si="57"/>
        <v>529.85555287671241</v>
      </c>
      <c r="Y141" s="94"/>
      <c r="Z141" s="94"/>
      <c r="AA141" s="94"/>
      <c r="AH141" s="159">
        <v>121</v>
      </c>
      <c r="AI141" s="217" t="s">
        <v>4677</v>
      </c>
      <c r="AJ141" s="217">
        <v>50000000</v>
      </c>
      <c r="AK141" s="159">
        <v>11</v>
      </c>
      <c r="AL141" s="159">
        <f t="shared" si="58"/>
        <v>699</v>
      </c>
      <c r="AM141" s="217">
        <f t="shared" si="53"/>
        <v>34950000000</v>
      </c>
      <c r="AN141" s="159" t="s">
        <v>4678</v>
      </c>
      <c r="AP141" t="s">
        <v>25</v>
      </c>
    </row>
    <row r="142" spans="7:43">
      <c r="G142" s="207"/>
      <c r="H142" s="207"/>
      <c r="I142" s="207" t="s">
        <v>5435</v>
      </c>
      <c r="J142" s="207" t="s">
        <v>6</v>
      </c>
      <c r="Q142" s="167"/>
      <c r="R142" s="207" t="s">
        <v>5887</v>
      </c>
      <c r="S142" s="207">
        <f>S141-1</f>
        <v>31</v>
      </c>
      <c r="T142" s="207" t="s">
        <v>5888</v>
      </c>
      <c r="U142" s="207">
        <v>15145</v>
      </c>
      <c r="V142" s="97">
        <f t="shared" si="42"/>
        <v>15735.364547945206</v>
      </c>
      <c r="W142" s="32">
        <f t="shared" si="56"/>
        <v>16050.07183890411</v>
      </c>
      <c r="X142" s="32">
        <f t="shared" si="57"/>
        <v>16364.779129863015</v>
      </c>
      <c r="Y142" s="94"/>
      <c r="Z142" s="94"/>
      <c r="AA142" s="94">
        <v>189</v>
      </c>
      <c r="AH142" s="20">
        <v>122</v>
      </c>
      <c r="AI142" s="115" t="s">
        <v>959</v>
      </c>
      <c r="AJ142" s="115">
        <v>30000</v>
      </c>
      <c r="AK142" s="20">
        <v>3</v>
      </c>
      <c r="AL142" s="20">
        <f t="shared" si="58"/>
        <v>688</v>
      </c>
      <c r="AM142" s="115">
        <f t="shared" si="53"/>
        <v>20640000</v>
      </c>
      <c r="AN142" s="20"/>
    </row>
    <row r="143" spans="7:43">
      <c r="J143" s="94"/>
      <c r="P143" t="s">
        <v>25</v>
      </c>
      <c r="Q143" s="167"/>
      <c r="R143" s="207" t="s">
        <v>5925</v>
      </c>
      <c r="S143" s="207">
        <f>S142-9</f>
        <v>22</v>
      </c>
      <c r="T143" s="207" t="s">
        <v>5926</v>
      </c>
      <c r="U143" s="207">
        <v>14780</v>
      </c>
      <c r="V143" s="97">
        <f t="shared" si="42"/>
        <v>15254.093808219181</v>
      </c>
      <c r="W143" s="32">
        <f t="shared" si="56"/>
        <v>15559.175684383565</v>
      </c>
      <c r="X143" s="32">
        <f t="shared" si="57"/>
        <v>15864.257560547949</v>
      </c>
      <c r="Y143" s="94"/>
      <c r="Z143" s="94"/>
      <c r="AA143" s="94">
        <v>264</v>
      </c>
      <c r="AB143" t="s">
        <v>25</v>
      </c>
      <c r="AH143" s="20">
        <v>123</v>
      </c>
      <c r="AI143" s="115" t="s">
        <v>4735</v>
      </c>
      <c r="AJ143" s="115">
        <v>600000</v>
      </c>
      <c r="AK143" s="20">
        <v>1</v>
      </c>
      <c r="AL143" s="20">
        <f t="shared" si="58"/>
        <v>685</v>
      </c>
      <c r="AM143" s="115">
        <f t="shared" si="53"/>
        <v>411000000</v>
      </c>
      <c r="AN143" s="20"/>
    </row>
    <row r="144" spans="7:43">
      <c r="K144" s="94"/>
      <c r="L144" s="94"/>
      <c r="M144" s="94"/>
      <c r="Q144" s="167"/>
      <c r="R144" s="207" t="s">
        <v>6464</v>
      </c>
      <c r="S144" s="207">
        <f>S143-6</f>
        <v>16</v>
      </c>
      <c r="T144" s="207" t="s">
        <v>6465</v>
      </c>
      <c r="U144" s="207">
        <v>1973</v>
      </c>
      <c r="V144" s="97">
        <f t="shared" si="42"/>
        <v>2027.2061479452057</v>
      </c>
      <c r="W144" s="32">
        <f t="shared" ref="W144:W158" si="59">V144*(1+$W$19/100)</f>
        <v>2067.7502709041096</v>
      </c>
      <c r="X144" s="32">
        <f t="shared" ref="X144:X158" si="60">V144*(1+$X$19/100)</f>
        <v>2108.2943938630137</v>
      </c>
      <c r="Y144" s="94"/>
      <c r="Z144" s="94"/>
      <c r="AA144" s="94"/>
      <c r="AH144" s="20">
        <v>124</v>
      </c>
      <c r="AI144" s="115" t="s">
        <v>4738</v>
      </c>
      <c r="AJ144" s="115">
        <v>30000</v>
      </c>
      <c r="AK144" s="20">
        <v>3</v>
      </c>
      <c r="AL144" s="20">
        <f t="shared" si="58"/>
        <v>684</v>
      </c>
      <c r="AM144" s="115">
        <f t="shared" si="53"/>
        <v>20520000</v>
      </c>
      <c r="AN144" s="20"/>
    </row>
    <row r="145" spans="5:44">
      <c r="G145" s="32" t="s">
        <v>4219</v>
      </c>
      <c r="H145" s="32"/>
      <c r="I145" s="32" t="s">
        <v>4361</v>
      </c>
      <c r="K145" s="94"/>
      <c r="L145" s="94"/>
      <c r="M145" s="94"/>
      <c r="Q145" s="167"/>
      <c r="R145" s="207" t="s">
        <v>6469</v>
      </c>
      <c r="S145" s="207">
        <f>S144-1</f>
        <v>15</v>
      </c>
      <c r="T145" s="207" t="s">
        <v>6541</v>
      </c>
      <c r="U145" s="207">
        <v>1955</v>
      </c>
      <c r="V145" s="97">
        <f t="shared" si="42"/>
        <v>2007.2118904109591</v>
      </c>
      <c r="W145" s="32">
        <f t="shared" si="59"/>
        <v>2047.3561282191783</v>
      </c>
      <c r="X145" s="32">
        <f t="shared" si="60"/>
        <v>2087.5003660273974</v>
      </c>
      <c r="Y145" s="94"/>
      <c r="Z145" s="94"/>
      <c r="AA145" s="94"/>
      <c r="AH145" s="20">
        <v>125</v>
      </c>
      <c r="AI145" s="115" t="s">
        <v>4744</v>
      </c>
      <c r="AJ145" s="115">
        <v>2250000</v>
      </c>
      <c r="AK145" s="20">
        <v>1</v>
      </c>
      <c r="AL145" s="20">
        <f t="shared" si="58"/>
        <v>681</v>
      </c>
      <c r="AM145" s="115">
        <f>AJ145*AL145</f>
        <v>1532250000</v>
      </c>
      <c r="AN145" s="20"/>
      <c r="AR145" t="s">
        <v>25</v>
      </c>
    </row>
    <row r="146" spans="5:44">
      <c r="G146" s="32">
        <f>O21+O31+O50+I138</f>
        <v>7332228</v>
      </c>
      <c r="H146" s="32" t="s">
        <v>5458</v>
      </c>
      <c r="I146" s="32">
        <f>O22+O28+O49+I139+O44</f>
        <v>63610</v>
      </c>
      <c r="J146" s="112"/>
      <c r="K146" s="94"/>
      <c r="L146" s="94"/>
      <c r="M146" s="94"/>
      <c r="Q146" s="167"/>
      <c r="R146" s="207" t="s">
        <v>6478</v>
      </c>
      <c r="S146" s="207">
        <f>S145-1</f>
        <v>14</v>
      </c>
      <c r="T146" s="207" t="s">
        <v>6479</v>
      </c>
      <c r="U146" s="207">
        <v>14341</v>
      </c>
      <c r="V146" s="97">
        <f t="shared" si="42"/>
        <v>14713.001610958907</v>
      </c>
      <c r="W146" s="32">
        <f t="shared" si="59"/>
        <v>15007.261643178086</v>
      </c>
      <c r="X146" s="32">
        <f t="shared" si="60"/>
        <v>15301.521675397264</v>
      </c>
      <c r="Y146" s="94"/>
      <c r="Z146" s="94"/>
      <c r="AA146" s="94">
        <v>4</v>
      </c>
      <c r="AH146" s="23">
        <v>126</v>
      </c>
      <c r="AI146" s="35" t="s">
        <v>4749</v>
      </c>
      <c r="AJ146" s="35">
        <v>-31412200</v>
      </c>
      <c r="AK146" s="23">
        <v>1</v>
      </c>
      <c r="AL146" s="20">
        <f t="shared" si="58"/>
        <v>680</v>
      </c>
      <c r="AM146" s="35">
        <f>AJ146*AL146</f>
        <v>-21360296000</v>
      </c>
      <c r="AN146" s="23" t="s">
        <v>4737</v>
      </c>
    </row>
    <row r="147" spans="5:44">
      <c r="G147" s="32">
        <f>(J139+N30+N22+N24+N28+N48+N49+N44)/P50</f>
        <v>114478.41701244813</v>
      </c>
      <c r="H147" s="280" t="s">
        <v>5459</v>
      </c>
      <c r="I147" s="32">
        <f>(J138+N30+N50+N48+N31+N24+N21)/P49</f>
        <v>330720.5484651163</v>
      </c>
      <c r="J147" s="112"/>
      <c r="K147" s="94"/>
      <c r="L147" s="94" t="s">
        <v>25</v>
      </c>
      <c r="M147" s="94"/>
      <c r="P147" s="112"/>
      <c r="Q147" s="167"/>
      <c r="R147" s="207" t="s">
        <v>6478</v>
      </c>
      <c r="S147" s="207">
        <f>S146</f>
        <v>14</v>
      </c>
      <c r="T147" s="207" t="s">
        <v>6480</v>
      </c>
      <c r="U147" s="207">
        <v>390</v>
      </c>
      <c r="V147" s="97">
        <f t="shared" si="42"/>
        <v>400.11649315068502</v>
      </c>
      <c r="W147" s="32">
        <f t="shared" si="59"/>
        <v>408.11882301369872</v>
      </c>
      <c r="X147" s="32">
        <f t="shared" si="60"/>
        <v>416.12115287671242</v>
      </c>
      <c r="Y147" s="94"/>
      <c r="Z147" s="94"/>
      <c r="AA147" s="94"/>
      <c r="AH147" s="20">
        <v>127</v>
      </c>
      <c r="AI147" s="115" t="s">
        <v>4758</v>
      </c>
      <c r="AJ147" s="115">
        <v>70000</v>
      </c>
      <c r="AK147" s="20">
        <v>9</v>
      </c>
      <c r="AL147" s="20">
        <f t="shared" si="58"/>
        <v>679</v>
      </c>
      <c r="AM147" s="115">
        <f>AJ147*AL147</f>
        <v>47530000</v>
      </c>
      <c r="AN147" s="20"/>
    </row>
    <row r="148" spans="5:44">
      <c r="G148" s="32">
        <f>G146+G147</f>
        <v>7446706.4170124484</v>
      </c>
      <c r="H148" s="32" t="s">
        <v>5460</v>
      </c>
      <c r="I148" s="32">
        <f>I146+I147</f>
        <v>394330.5484651163</v>
      </c>
      <c r="J148" s="112"/>
      <c r="K148" s="94"/>
      <c r="L148" s="94"/>
      <c r="N148" s="94"/>
      <c r="O148" s="94"/>
      <c r="Q148" s="167"/>
      <c r="R148" s="207" t="s">
        <v>6502</v>
      </c>
      <c r="S148" s="207">
        <f>S147-14</f>
        <v>0</v>
      </c>
      <c r="T148" s="207" t="s">
        <v>6504</v>
      </c>
      <c r="U148" s="207">
        <v>360</v>
      </c>
      <c r="V148" s="97">
        <f t="shared" si="42"/>
        <v>365.47200000000004</v>
      </c>
      <c r="W148" s="32">
        <f t="shared" si="59"/>
        <v>372.78144000000003</v>
      </c>
      <c r="X148" s="32">
        <f t="shared" si="60"/>
        <v>380.09088000000003</v>
      </c>
      <c r="Y148" s="94"/>
      <c r="Z148" s="94"/>
      <c r="AA148" s="94"/>
      <c r="AB148" s="94"/>
      <c r="AH148" s="97">
        <v>128</v>
      </c>
      <c r="AI148" s="111" t="s">
        <v>4765</v>
      </c>
      <c r="AJ148" s="111">
        <v>20000</v>
      </c>
      <c r="AK148" s="97">
        <v>10</v>
      </c>
      <c r="AL148" s="20">
        <f t="shared" si="58"/>
        <v>670</v>
      </c>
      <c r="AM148" s="115">
        <f>AJ148*AL148</f>
        <v>13400000</v>
      </c>
      <c r="AN148" s="20"/>
      <c r="AP148" t="s">
        <v>25</v>
      </c>
    </row>
    <row r="149" spans="5:44">
      <c r="G149" s="32">
        <f>(W169+W170)/P50</f>
        <v>346171.52110107255</v>
      </c>
      <c r="H149" s="32" t="s">
        <v>5436</v>
      </c>
      <c r="I149" s="32">
        <f>(W169+W170)/P49</f>
        <v>15521.364946113206</v>
      </c>
      <c r="J149" s="112"/>
      <c r="K149" s="94"/>
      <c r="L149" s="94"/>
      <c r="M149" s="94"/>
      <c r="N149" s="94"/>
      <c r="O149" s="94"/>
      <c r="Q149" s="167"/>
      <c r="R149" s="207" t="s">
        <v>6510</v>
      </c>
      <c r="S149" s="207">
        <f>S148-4</f>
        <v>-4</v>
      </c>
      <c r="T149" s="207" t="s">
        <v>6516</v>
      </c>
      <c r="U149" s="207">
        <v>300</v>
      </c>
      <c r="V149" s="97">
        <f t="shared" si="42"/>
        <v>303.6394520547945</v>
      </c>
      <c r="W149" s="32">
        <f t="shared" si="59"/>
        <v>309.71224109589042</v>
      </c>
      <c r="X149" s="32">
        <f t="shared" si="60"/>
        <v>315.78503013698628</v>
      </c>
      <c r="Y149" s="94"/>
      <c r="Z149" s="94"/>
      <c r="AA149" s="94"/>
      <c r="AB149" s="94"/>
      <c r="AH149" s="97">
        <v>129</v>
      </c>
      <c r="AI149" s="111" t="s">
        <v>4785</v>
      </c>
      <c r="AJ149" s="111">
        <v>1000000</v>
      </c>
      <c r="AK149" s="97">
        <v>1</v>
      </c>
      <c r="AL149" s="20">
        <f t="shared" si="58"/>
        <v>660</v>
      </c>
      <c r="AM149" s="115">
        <f>AJ149*AL149</f>
        <v>660000000</v>
      </c>
      <c r="AN149" s="20"/>
    </row>
    <row r="150" spans="5:44">
      <c r="E150" s="121"/>
      <c r="G150" s="32">
        <f>W167/P50</f>
        <v>2694259.3440749017</v>
      </c>
      <c r="H150" s="32" t="s">
        <v>481</v>
      </c>
      <c r="I150" s="32">
        <f>W167/P49</f>
        <v>120803.0701250328</v>
      </c>
      <c r="J150" s="112"/>
      <c r="K150" s="94"/>
      <c r="L150" s="94"/>
      <c r="N150" s="94"/>
      <c r="O150" s="94"/>
      <c r="Q150" s="167"/>
      <c r="R150" s="207" t="s">
        <v>6529</v>
      </c>
      <c r="S150" s="207">
        <f>S149-2</f>
        <v>-6</v>
      </c>
      <c r="T150" s="207" t="s">
        <v>6530</v>
      </c>
      <c r="U150" s="207">
        <v>1009</v>
      </c>
      <c r="V150" s="97">
        <f t="shared" si="42"/>
        <v>1019.6926356164386</v>
      </c>
      <c r="W150" s="32">
        <f t="shared" si="59"/>
        <v>1040.0864883287672</v>
      </c>
      <c r="X150" s="32">
        <f t="shared" si="60"/>
        <v>1060.4803410410962</v>
      </c>
      <c r="Y150" s="94">
        <v>15063</v>
      </c>
      <c r="Z150" s="94"/>
      <c r="AA150" s="94"/>
      <c r="AC150" s="112" t="s">
        <v>25</v>
      </c>
      <c r="AD150" s="112"/>
      <c r="AH150" s="97">
        <v>130</v>
      </c>
      <c r="AI150" s="111" t="s">
        <v>4786</v>
      </c>
      <c r="AJ150" s="111">
        <v>65630227</v>
      </c>
      <c r="AK150" s="97">
        <v>0</v>
      </c>
      <c r="AL150" s="20">
        <f t="shared" si="58"/>
        <v>659</v>
      </c>
      <c r="AM150" s="115">
        <f t="shared" ref="AM150:AM177" si="61">AJ150*AL150</f>
        <v>43250319593</v>
      </c>
      <c r="AN150" s="20" t="s">
        <v>4789</v>
      </c>
      <c r="AP150" t="s">
        <v>25</v>
      </c>
      <c r="AR150" t="s">
        <v>25</v>
      </c>
    </row>
    <row r="151" spans="5:44">
      <c r="G151" s="32">
        <f>G148-G149-G150</f>
        <v>4406275.5518364739</v>
      </c>
      <c r="H151" s="32" t="s">
        <v>5</v>
      </c>
      <c r="I151" s="32">
        <f>I148-I149-I150</f>
        <v>258006.1133939703</v>
      </c>
      <c r="J151" s="112"/>
      <c r="K151" s="94"/>
      <c r="L151" s="94"/>
      <c r="M151" t="s">
        <v>25</v>
      </c>
      <c r="N151" s="94"/>
      <c r="O151" s="94"/>
      <c r="Q151" s="167"/>
      <c r="R151" s="207" t="s">
        <v>6533</v>
      </c>
      <c r="S151" s="207">
        <f>S150-4</f>
        <v>-10</v>
      </c>
      <c r="T151" s="207" t="s">
        <v>6534</v>
      </c>
      <c r="U151" s="207">
        <v>1036</v>
      </c>
      <c r="V151" s="97">
        <f>U151*(1+$R$112+$Q$15*S151/36500)</f>
        <v>1043.7998027397261</v>
      </c>
      <c r="W151" s="32">
        <f t="shared" si="59"/>
        <v>1064.6757987945207</v>
      </c>
      <c r="X151" s="32">
        <f t="shared" si="60"/>
        <v>1085.5517948493152</v>
      </c>
      <c r="Y151" s="94">
        <v>3000</v>
      </c>
      <c r="Z151" s="94" t="s">
        <v>25</v>
      </c>
      <c r="AA151" s="94"/>
      <c r="AC151" s="112"/>
      <c r="AH151" s="97">
        <v>131</v>
      </c>
      <c r="AI151" s="111" t="s">
        <v>4786</v>
      </c>
      <c r="AJ151" s="111">
        <v>-3500000</v>
      </c>
      <c r="AK151" s="97">
        <v>6</v>
      </c>
      <c r="AL151" s="20">
        <f t="shared" si="58"/>
        <v>659</v>
      </c>
      <c r="AM151" s="115">
        <f t="shared" si="61"/>
        <v>-2306500000</v>
      </c>
      <c r="AN151" s="20" t="s">
        <v>4788</v>
      </c>
    </row>
    <row r="152" spans="5:44">
      <c r="N152" s="94"/>
      <c r="O152" s="94"/>
      <c r="Q152" s="167"/>
      <c r="R152" s="207" t="s">
        <v>6535</v>
      </c>
      <c r="S152" s="207">
        <f>S151-1</f>
        <v>-11</v>
      </c>
      <c r="T152" s="207" t="s">
        <v>6536</v>
      </c>
      <c r="U152" s="207">
        <v>1008</v>
      </c>
      <c r="V152" s="97">
        <f>U152*(1+$R$112+$Q$15*S152/36500)</f>
        <v>1014.8157369863015</v>
      </c>
      <c r="W152" s="32">
        <f t="shared" si="59"/>
        <v>1035.1120517260276</v>
      </c>
      <c r="X152" s="32">
        <f t="shared" si="60"/>
        <v>1055.4083664657537</v>
      </c>
      <c r="Y152" s="94">
        <v>6000</v>
      </c>
      <c r="Z152" s="94"/>
      <c r="AA152" s="94"/>
      <c r="AC152" s="112"/>
      <c r="AD152" s="112"/>
      <c r="AH152" s="97">
        <v>132</v>
      </c>
      <c r="AI152" s="111" t="s">
        <v>4798</v>
      </c>
      <c r="AJ152" s="111">
        <v>2520000</v>
      </c>
      <c r="AK152" s="97">
        <v>12</v>
      </c>
      <c r="AL152" s="20">
        <f t="shared" si="58"/>
        <v>653</v>
      </c>
      <c r="AM152" s="115">
        <f t="shared" si="61"/>
        <v>1645560000</v>
      </c>
      <c r="AN152" s="20"/>
    </row>
    <row r="153" spans="5:44">
      <c r="N153" s="94"/>
      <c r="O153" s="94"/>
      <c r="P153" s="112"/>
      <c r="Q153" s="167"/>
      <c r="R153" s="207" t="s">
        <v>6539</v>
      </c>
      <c r="S153" s="207">
        <f>S152-1</f>
        <v>-12</v>
      </c>
      <c r="T153" s="207" t="s">
        <v>6540</v>
      </c>
      <c r="U153" s="207">
        <v>975</v>
      </c>
      <c r="V153" s="97">
        <f>U153*(1+$R$112+$Q$15*S153/36500)</f>
        <v>980.84465753424661</v>
      </c>
      <c r="W153" s="32">
        <f t="shared" si="59"/>
        <v>1000.4615506849316</v>
      </c>
      <c r="X153" s="32">
        <f t="shared" si="60"/>
        <v>1020.0784438356166</v>
      </c>
      <c r="Y153" s="94">
        <v>10604</v>
      </c>
      <c r="Z153" s="94"/>
      <c r="AA153" s="94"/>
      <c r="AH153" s="97">
        <v>133</v>
      </c>
      <c r="AI153" s="111" t="s">
        <v>4833</v>
      </c>
      <c r="AJ153" s="111">
        <v>1400000</v>
      </c>
      <c r="AK153" s="97">
        <v>4</v>
      </c>
      <c r="AL153" s="20">
        <f t="shared" si="58"/>
        <v>641</v>
      </c>
      <c r="AM153" s="115">
        <f t="shared" si="61"/>
        <v>897400000</v>
      </c>
      <c r="AN153" s="20"/>
    </row>
    <row r="154" spans="5:44">
      <c r="K154" s="94"/>
      <c r="L154" s="94"/>
      <c r="Q154" s="167"/>
      <c r="R154" s="207" t="s">
        <v>6542</v>
      </c>
      <c r="S154" s="207">
        <f>S153-2</f>
        <v>-14</v>
      </c>
      <c r="T154" s="207" t="s">
        <v>6543</v>
      </c>
      <c r="U154" s="207">
        <v>936</v>
      </c>
      <c r="V154" s="97">
        <f>U154*(1+$R$112+$Q$15*S154/36500)</f>
        <v>940.17481643835617</v>
      </c>
      <c r="W154" s="32">
        <f t="shared" si="59"/>
        <v>958.97831276712327</v>
      </c>
      <c r="X154" s="32">
        <f t="shared" si="60"/>
        <v>977.78180909589048</v>
      </c>
      <c r="Y154" s="94">
        <v>12579</v>
      </c>
      <c r="Z154" s="94"/>
      <c r="AA154" s="94"/>
      <c r="AH154" s="97">
        <v>134</v>
      </c>
      <c r="AI154" s="111" t="s">
        <v>4854</v>
      </c>
      <c r="AJ154" s="111">
        <v>1550000</v>
      </c>
      <c r="AK154" s="97">
        <v>2</v>
      </c>
      <c r="AL154" s="20">
        <f t="shared" si="58"/>
        <v>637</v>
      </c>
      <c r="AM154" s="115">
        <f t="shared" si="61"/>
        <v>987350000</v>
      </c>
      <c r="AN154" s="20"/>
    </row>
    <row r="155" spans="5:44">
      <c r="P155" s="112"/>
      <c r="Q155" s="167"/>
      <c r="R155" s="207"/>
      <c r="S155" s="207"/>
      <c r="T155" s="207"/>
      <c r="U155" s="207"/>
      <c r="V155" s="97"/>
      <c r="W155" s="32"/>
      <c r="X155" s="32"/>
      <c r="Y155" s="94"/>
      <c r="Z155" s="94"/>
      <c r="AA155" s="94"/>
      <c r="AH155" s="97">
        <v>135</v>
      </c>
      <c r="AI155" s="111" t="s">
        <v>4805</v>
      </c>
      <c r="AJ155" s="111">
        <v>250000</v>
      </c>
      <c r="AK155" s="97">
        <v>6</v>
      </c>
      <c r="AL155" s="20">
        <f t="shared" si="58"/>
        <v>635</v>
      </c>
      <c r="AM155" s="115">
        <f t="shared" si="61"/>
        <v>158750000</v>
      </c>
      <c r="AN155" s="20"/>
    </row>
    <row r="156" spans="5:44">
      <c r="G156" s="32" t="s">
        <v>180</v>
      </c>
      <c r="H156" s="32" t="s">
        <v>5461</v>
      </c>
      <c r="I156" s="207" t="s">
        <v>5462</v>
      </c>
      <c r="J156" s="207" t="s">
        <v>5463</v>
      </c>
      <c r="K156" s="32" t="s">
        <v>5464</v>
      </c>
      <c r="L156" s="97" t="s">
        <v>5478</v>
      </c>
      <c r="M156" s="97" t="s">
        <v>5479</v>
      </c>
      <c r="P156" s="94"/>
      <c r="Q156" s="167"/>
      <c r="R156" s="207"/>
      <c r="S156" s="207"/>
      <c r="T156" s="207"/>
      <c r="U156" s="207"/>
      <c r="V156" s="97"/>
      <c r="W156" s="32"/>
      <c r="X156" s="32"/>
      <c r="Y156" s="94"/>
      <c r="Z156" s="94"/>
      <c r="AA156" s="94"/>
      <c r="AH156" s="97">
        <v>136</v>
      </c>
      <c r="AI156" s="111" t="s">
        <v>4863</v>
      </c>
      <c r="AJ156" s="111">
        <v>-48527480</v>
      </c>
      <c r="AK156" s="97">
        <v>14</v>
      </c>
      <c r="AL156" s="20">
        <f t="shared" si="58"/>
        <v>629</v>
      </c>
      <c r="AM156" s="115">
        <f t="shared" si="61"/>
        <v>-30523784920</v>
      </c>
      <c r="AN156" s="20" t="s">
        <v>4865</v>
      </c>
    </row>
    <row r="157" spans="5:44">
      <c r="G157" s="32" t="s">
        <v>5449</v>
      </c>
      <c r="H157" s="32">
        <v>3256760</v>
      </c>
      <c r="I157" s="207">
        <v>245992</v>
      </c>
      <c r="J157" s="207">
        <v>2544443</v>
      </c>
      <c r="K157" s="32">
        <v>192693</v>
      </c>
      <c r="L157" s="97">
        <f t="shared" ref="L157:L165" si="62">H157+J157</f>
        <v>5801203</v>
      </c>
      <c r="M157" s="97">
        <f t="shared" ref="M157:M165" si="63">I157+K157</f>
        <v>438685</v>
      </c>
      <c r="Q157" s="167"/>
      <c r="R157" s="207"/>
      <c r="S157" s="207"/>
      <c r="T157" s="207"/>
      <c r="U157" s="207"/>
      <c r="V157" s="97">
        <f>U157*(1+$R$112+$Q$15*S157/36500)</f>
        <v>0</v>
      </c>
      <c r="W157" s="32">
        <f t="shared" si="59"/>
        <v>0</v>
      </c>
      <c r="X157" s="32">
        <f t="shared" si="60"/>
        <v>0</v>
      </c>
      <c r="Y157" s="94"/>
      <c r="Z157" s="94" t="s">
        <v>25</v>
      </c>
      <c r="AA157" s="94"/>
      <c r="AH157" s="97">
        <v>137</v>
      </c>
      <c r="AI157" s="111" t="s">
        <v>4885</v>
      </c>
      <c r="AJ157" s="111">
        <v>2100000</v>
      </c>
      <c r="AK157" s="97">
        <v>1</v>
      </c>
      <c r="AL157" s="20">
        <f t="shared" si="58"/>
        <v>615</v>
      </c>
      <c r="AM157" s="115">
        <f t="shared" si="61"/>
        <v>1291500000</v>
      </c>
      <c r="AN157" s="20"/>
    </row>
    <row r="158" spans="5:44">
      <c r="G158" s="32" t="s">
        <v>5465</v>
      </c>
      <c r="H158" s="32">
        <v>3245022</v>
      </c>
      <c r="I158" s="207">
        <v>249261</v>
      </c>
      <c r="J158" s="207">
        <v>2532877</v>
      </c>
      <c r="K158" s="32">
        <v>195062</v>
      </c>
      <c r="L158" s="97">
        <f t="shared" si="62"/>
        <v>5777899</v>
      </c>
      <c r="M158" s="97">
        <f t="shared" si="63"/>
        <v>444323</v>
      </c>
      <c r="Q158" s="167"/>
      <c r="R158" s="166"/>
      <c r="S158" s="166"/>
      <c r="T158" s="166" t="s">
        <v>25</v>
      </c>
      <c r="U158" s="166"/>
      <c r="V158" s="97">
        <f>U158*(1+$R$112+$Q$15*S158/36500)</f>
        <v>0</v>
      </c>
      <c r="W158" s="32">
        <f t="shared" si="59"/>
        <v>0</v>
      </c>
      <c r="X158" s="32">
        <f t="shared" si="60"/>
        <v>0</v>
      </c>
      <c r="Z158" t="s">
        <v>25</v>
      </c>
      <c r="AA158" s="94"/>
      <c r="AH158" s="97">
        <v>138</v>
      </c>
      <c r="AI158" s="111" t="s">
        <v>4888</v>
      </c>
      <c r="AJ158" s="111">
        <v>100000</v>
      </c>
      <c r="AK158" s="97">
        <v>4</v>
      </c>
      <c r="AL158" s="20">
        <f>AL159+AK158</f>
        <v>614</v>
      </c>
      <c r="AM158" s="115">
        <f t="shared" si="61"/>
        <v>61400000</v>
      </c>
      <c r="AN158" s="20"/>
    </row>
    <row r="159" spans="5:44">
      <c r="G159" s="32" t="s">
        <v>5466</v>
      </c>
      <c r="H159" s="32"/>
      <c r="I159" s="207"/>
      <c r="J159" s="207"/>
      <c r="K159" s="32"/>
      <c r="L159" s="97">
        <f t="shared" si="62"/>
        <v>0</v>
      </c>
      <c r="M159" s="97">
        <f t="shared" si="63"/>
        <v>0</v>
      </c>
      <c r="Q159" s="111">
        <f>SUM(N44:N54)-SUM(Q116:Q158)</f>
        <v>2647553393.36867</v>
      </c>
      <c r="R159" s="110"/>
      <c r="S159" s="110"/>
      <c r="T159" s="110"/>
      <c r="U159" s="166"/>
      <c r="V159" s="97" t="s">
        <v>25</v>
      </c>
      <c r="W159" s="32"/>
      <c r="X159" s="32"/>
      <c r="Y159" t="s">
        <v>25</v>
      </c>
      <c r="Z159" t="s">
        <v>25</v>
      </c>
      <c r="AA159" s="94" t="s">
        <v>25</v>
      </c>
      <c r="AH159" s="97">
        <v>139</v>
      </c>
      <c r="AI159" s="111" t="s">
        <v>4893</v>
      </c>
      <c r="AJ159" s="111">
        <v>900000</v>
      </c>
      <c r="AK159" s="97">
        <v>0</v>
      </c>
      <c r="AL159" s="20">
        <f t="shared" ref="AL159:AL168" si="64">AL160+AK159</f>
        <v>610</v>
      </c>
      <c r="AM159" s="115">
        <f t="shared" ref="AM159:AM168" si="65">AJ159*AL159</f>
        <v>549000000</v>
      </c>
      <c r="AN159" s="20"/>
      <c r="AP159" t="s">
        <v>25</v>
      </c>
    </row>
    <row r="160" spans="5:44">
      <c r="G160" s="32" t="s">
        <v>5467</v>
      </c>
      <c r="H160" s="32"/>
      <c r="I160" s="207"/>
      <c r="J160" s="207"/>
      <c r="K160" s="32"/>
      <c r="L160" s="97">
        <f t="shared" si="62"/>
        <v>0</v>
      </c>
      <c r="M160" s="97">
        <f t="shared" si="63"/>
        <v>0</v>
      </c>
      <c r="N160" s="94"/>
      <c r="O160" s="94" t="s">
        <v>25</v>
      </c>
      <c r="P160" s="112"/>
      <c r="Q160" s="26"/>
      <c r="R160" s="179"/>
      <c r="S160" s="179"/>
      <c r="T160" t="s">
        <v>25</v>
      </c>
      <c r="U160" s="94" t="s">
        <v>25</v>
      </c>
      <c r="V160" s="94" t="s">
        <v>25</v>
      </c>
      <c r="W160" s="94" t="s">
        <v>25</v>
      </c>
      <c r="Y160" t="s">
        <v>25</v>
      </c>
      <c r="Z160" t="s">
        <v>25</v>
      </c>
      <c r="AA160" s="94" t="s">
        <v>25</v>
      </c>
      <c r="AH160" s="97">
        <v>140</v>
      </c>
      <c r="AI160" s="111" t="s">
        <v>4893</v>
      </c>
      <c r="AJ160" s="111">
        <v>1100000</v>
      </c>
      <c r="AK160" s="97">
        <v>0</v>
      </c>
      <c r="AL160" s="20">
        <f t="shared" si="64"/>
        <v>610</v>
      </c>
      <c r="AM160" s="115">
        <f t="shared" si="65"/>
        <v>671000000</v>
      </c>
      <c r="AN160" s="20" t="s">
        <v>4907</v>
      </c>
      <c r="AQ160" t="s">
        <v>25</v>
      </c>
    </row>
    <row r="161" spans="7:43">
      <c r="G161" s="32" t="s">
        <v>5485</v>
      </c>
      <c r="H161" s="32">
        <v>3270584</v>
      </c>
      <c r="I161" s="207">
        <v>250916</v>
      </c>
      <c r="J161" s="207">
        <v>2496979</v>
      </c>
      <c r="K161" s="32">
        <v>203160</v>
      </c>
      <c r="L161" s="97">
        <f t="shared" si="62"/>
        <v>5767563</v>
      </c>
      <c r="M161" s="97">
        <f t="shared" si="63"/>
        <v>454076</v>
      </c>
      <c r="N161" s="94"/>
      <c r="O161" s="94"/>
      <c r="P161" s="112"/>
      <c r="R161" s="32" t="s">
        <v>4516</v>
      </c>
      <c r="S161" s="32" t="s">
        <v>935</v>
      </c>
      <c r="T161" t="s">
        <v>25</v>
      </c>
      <c r="U161" s="94" t="s">
        <v>25</v>
      </c>
      <c r="V161" s="94" t="s">
        <v>25</v>
      </c>
      <c r="W161" s="94" t="s">
        <v>25</v>
      </c>
      <c r="X161" s="120" t="s">
        <v>25</v>
      </c>
      <c r="Y161" t="s">
        <v>25</v>
      </c>
      <c r="Z161" t="s">
        <v>25</v>
      </c>
      <c r="AH161" s="97">
        <v>141</v>
      </c>
      <c r="AI161" s="111" t="s">
        <v>4893</v>
      </c>
      <c r="AJ161" s="111">
        <v>115000</v>
      </c>
      <c r="AK161" s="97"/>
      <c r="AL161" s="20">
        <f t="shared" si="64"/>
        <v>610</v>
      </c>
      <c r="AM161" s="115">
        <f t="shared" si="65"/>
        <v>70150000</v>
      </c>
      <c r="AN161" s="20"/>
      <c r="AQ161" t="s">
        <v>25</v>
      </c>
    </row>
    <row r="162" spans="7:43">
      <c r="G162" s="32" t="s">
        <v>5486</v>
      </c>
      <c r="H162" s="32">
        <v>3225584</v>
      </c>
      <c r="I162" s="207">
        <v>260042</v>
      </c>
      <c r="J162" s="207">
        <v>2466124</v>
      </c>
      <c r="K162" s="32">
        <v>210439</v>
      </c>
      <c r="L162" s="97">
        <f t="shared" si="62"/>
        <v>5691708</v>
      </c>
      <c r="M162" s="97">
        <f t="shared" si="63"/>
        <v>470481</v>
      </c>
      <c r="N162" s="94"/>
      <c r="O162" s="94"/>
      <c r="P162" s="112"/>
      <c r="R162" s="32">
        <v>23503</v>
      </c>
      <c r="S162" s="167">
        <v>152128600.70081395</v>
      </c>
      <c r="T162" t="s">
        <v>25</v>
      </c>
      <c r="U162" s="94" t="s">
        <v>25</v>
      </c>
      <c r="V162" s="120" t="s">
        <v>25</v>
      </c>
      <c r="W162" s="94" t="s">
        <v>25</v>
      </c>
      <c r="X162" t="s">
        <v>25</v>
      </c>
      <c r="Y162" t="s">
        <v>25</v>
      </c>
      <c r="Z162" t="s">
        <v>25</v>
      </c>
      <c r="AA162" t="s">
        <v>25</v>
      </c>
      <c r="AH162" s="97">
        <v>142</v>
      </c>
      <c r="AI162" s="111" t="s">
        <v>4901</v>
      </c>
      <c r="AJ162" s="111">
        <v>-1100000</v>
      </c>
      <c r="AK162" s="97"/>
      <c r="AL162" s="20">
        <f t="shared" si="64"/>
        <v>610</v>
      </c>
      <c r="AM162" s="115">
        <f t="shared" si="65"/>
        <v>-671000000</v>
      </c>
      <c r="AN162" s="20" t="s">
        <v>4908</v>
      </c>
      <c r="AQ162" t="s">
        <v>25</v>
      </c>
    </row>
    <row r="163" spans="7:43">
      <c r="G163" s="32" t="s">
        <v>5487</v>
      </c>
      <c r="H163" s="32">
        <v>3271778</v>
      </c>
      <c r="I163" s="207">
        <v>282233</v>
      </c>
      <c r="J163" s="207">
        <v>2458563</v>
      </c>
      <c r="K163" s="32">
        <v>212082</v>
      </c>
      <c r="L163" s="97">
        <f t="shared" si="62"/>
        <v>5730341</v>
      </c>
      <c r="M163" s="97">
        <f t="shared" si="63"/>
        <v>494315</v>
      </c>
      <c r="N163" s="94"/>
      <c r="O163" s="94"/>
      <c r="P163" s="112"/>
      <c r="Q163" t="s">
        <v>25</v>
      </c>
      <c r="R163" s="32">
        <v>6676</v>
      </c>
      <c r="S163" s="1">
        <f>S162*R163/R162</f>
        <v>43211953.294414923</v>
      </c>
      <c r="T163" s="112" t="s">
        <v>25</v>
      </c>
      <c r="U163" s="94" t="s">
        <v>25</v>
      </c>
      <c r="V163" s="120" t="s">
        <v>25</v>
      </c>
      <c r="W163" s="94" t="s">
        <v>25</v>
      </c>
      <c r="X163" t="s">
        <v>25</v>
      </c>
      <c r="Y163" t="s">
        <v>25</v>
      </c>
      <c r="Z163" t="s">
        <v>25</v>
      </c>
      <c r="AH163" s="97">
        <v>143</v>
      </c>
      <c r="AI163" s="111" t="s">
        <v>4901</v>
      </c>
      <c r="AJ163" s="111">
        <v>900000</v>
      </c>
      <c r="AK163" s="97">
        <v>1</v>
      </c>
      <c r="AL163" s="20">
        <f t="shared" si="64"/>
        <v>610</v>
      </c>
      <c r="AM163" s="115">
        <f t="shared" si="65"/>
        <v>549000000</v>
      </c>
      <c r="AN163" s="20" t="s">
        <v>4907</v>
      </c>
    </row>
    <row r="164" spans="7:43">
      <c r="G164" s="32" t="s">
        <v>5494</v>
      </c>
      <c r="H164" s="32">
        <v>3298939</v>
      </c>
      <c r="I164" s="207">
        <v>281309</v>
      </c>
      <c r="J164" s="207">
        <v>2465538</v>
      </c>
      <c r="K164" s="32">
        <v>210242</v>
      </c>
      <c r="L164" s="97">
        <f t="shared" si="62"/>
        <v>5764477</v>
      </c>
      <c r="M164" s="97">
        <f t="shared" si="63"/>
        <v>491551</v>
      </c>
      <c r="N164" s="94"/>
      <c r="O164" s="94"/>
      <c r="P164" s="112"/>
      <c r="R164" s="32">
        <f>R162-R163</f>
        <v>16827</v>
      </c>
      <c r="S164" s="1">
        <f>R164*S162/R162</f>
        <v>108916647.40639903</v>
      </c>
      <c r="T164" t="s">
        <v>25</v>
      </c>
      <c r="U164" s="120" t="s">
        <v>25</v>
      </c>
      <c r="V164" s="94"/>
      <c r="W164" s="120" t="s">
        <v>25</v>
      </c>
      <c r="X164" t="s">
        <v>25</v>
      </c>
      <c r="Y164" t="s">
        <v>25</v>
      </c>
      <c r="Z164" t="s">
        <v>25</v>
      </c>
      <c r="AA164" t="s">
        <v>25</v>
      </c>
      <c r="AH164" s="97">
        <v>144</v>
      </c>
      <c r="AI164" s="111" t="s">
        <v>4905</v>
      </c>
      <c r="AJ164" s="111">
        <v>2000000</v>
      </c>
      <c r="AK164" s="97">
        <v>0</v>
      </c>
      <c r="AL164" s="20">
        <f t="shared" si="64"/>
        <v>609</v>
      </c>
      <c r="AM164" s="115">
        <f t="shared" si="65"/>
        <v>1218000000</v>
      </c>
      <c r="AN164" s="20"/>
    </row>
    <row r="165" spans="7:43">
      <c r="G165" s="32" t="s">
        <v>5498</v>
      </c>
      <c r="H165" s="32">
        <v>3453903</v>
      </c>
      <c r="I165" s="207">
        <v>259725</v>
      </c>
      <c r="J165" s="207">
        <v>2541096</v>
      </c>
      <c r="K165" s="32">
        <v>191084</v>
      </c>
      <c r="L165" s="97">
        <f t="shared" si="62"/>
        <v>5994999</v>
      </c>
      <c r="M165" s="97">
        <f t="shared" si="63"/>
        <v>450809</v>
      </c>
      <c r="N165" s="94"/>
      <c r="O165" s="94"/>
      <c r="P165" s="112"/>
      <c r="T165" t="s">
        <v>25</v>
      </c>
      <c r="V165" s="94"/>
      <c r="W165"/>
      <c r="X165" t="s">
        <v>25</v>
      </c>
      <c r="Y165" t="s">
        <v>25</v>
      </c>
      <c r="Z165" t="s">
        <v>25</v>
      </c>
      <c r="AA165" t="s">
        <v>25</v>
      </c>
      <c r="AH165" s="97">
        <v>145</v>
      </c>
      <c r="AI165" s="111" t="s">
        <v>4905</v>
      </c>
      <c r="AJ165" s="111">
        <v>360000</v>
      </c>
      <c r="AK165" s="97">
        <v>1</v>
      </c>
      <c r="AL165" s="20">
        <f t="shared" si="64"/>
        <v>609</v>
      </c>
      <c r="AM165" s="115">
        <f t="shared" si="65"/>
        <v>219240000</v>
      </c>
      <c r="AN165" s="20"/>
    </row>
    <row r="166" spans="7:43">
      <c r="G166" s="32"/>
      <c r="H166" s="32"/>
      <c r="I166" s="207"/>
      <c r="J166" s="207"/>
      <c r="K166" s="32"/>
      <c r="L166" s="97"/>
      <c r="M166" s="97"/>
      <c r="N166" s="94"/>
      <c r="O166" s="94"/>
      <c r="P166" s="112"/>
      <c r="Q166" s="94" t="s">
        <v>25</v>
      </c>
      <c r="R166" s="94"/>
      <c r="S166" s="94"/>
      <c r="T166" s="94"/>
      <c r="U166" s="285" t="s">
        <v>4408</v>
      </c>
      <c r="V166" s="285" t="s">
        <v>4421</v>
      </c>
      <c r="W166" s="285" t="s">
        <v>4422</v>
      </c>
      <c r="X166" t="s">
        <v>25</v>
      </c>
      <c r="Y166" t="s">
        <v>25</v>
      </c>
      <c r="AA166" t="s">
        <v>25</v>
      </c>
      <c r="AH166" s="97">
        <v>146</v>
      </c>
      <c r="AI166" s="111" t="s">
        <v>4906</v>
      </c>
      <c r="AJ166" s="111">
        <v>3000000</v>
      </c>
      <c r="AK166" s="97">
        <v>1</v>
      </c>
      <c r="AL166" s="20">
        <f t="shared" si="64"/>
        <v>608</v>
      </c>
      <c r="AM166" s="115">
        <f t="shared" si="65"/>
        <v>1824000000</v>
      </c>
      <c r="AN166" s="20"/>
    </row>
    <row r="167" spans="7:43">
      <c r="G167" s="32"/>
      <c r="H167" s="32"/>
      <c r="I167" s="207"/>
      <c r="J167" s="207"/>
      <c r="K167" s="32"/>
      <c r="L167" s="97"/>
      <c r="M167" s="97"/>
      <c r="P167" s="112"/>
      <c r="Q167" s="94"/>
      <c r="R167" s="94"/>
      <c r="S167" s="94"/>
      <c r="T167" s="120">
        <f>V168-V173</f>
        <v>2624895</v>
      </c>
      <c r="U167" s="285" t="s">
        <v>744</v>
      </c>
      <c r="V167" s="285">
        <v>1493032</v>
      </c>
      <c r="W167" s="88">
        <f>V167*$T$507</f>
        <v>2597266007.6882052</v>
      </c>
      <c r="X167">
        <f>W167*100/$W$173</f>
        <v>34.643050806321185</v>
      </c>
      <c r="Y167" t="s">
        <v>25</v>
      </c>
      <c r="Z167" t="s">
        <v>25</v>
      </c>
      <c r="AA167" t="s">
        <v>25</v>
      </c>
      <c r="AH167" s="97">
        <v>147</v>
      </c>
      <c r="AI167" s="111" t="s">
        <v>4904</v>
      </c>
      <c r="AJ167" s="111">
        <v>-658226</v>
      </c>
      <c r="AK167" s="97">
        <v>1</v>
      </c>
      <c r="AL167" s="20">
        <f t="shared" si="64"/>
        <v>607</v>
      </c>
      <c r="AM167" s="115">
        <f t="shared" si="65"/>
        <v>-399543182</v>
      </c>
      <c r="AN167" s="20"/>
    </row>
    <row r="168" spans="7:43">
      <c r="G168" s="32"/>
      <c r="H168" s="32"/>
      <c r="I168" s="207"/>
      <c r="J168" s="207"/>
      <c r="K168" s="32"/>
      <c r="L168" s="97">
        <f>H168+J168</f>
        <v>0</v>
      </c>
      <c r="M168" s="97">
        <f>I168+K168</f>
        <v>0</v>
      </c>
      <c r="P168" s="112"/>
      <c r="T168" s="120"/>
      <c r="U168" s="285" t="s">
        <v>4410</v>
      </c>
      <c r="V168" s="285">
        <v>2624895</v>
      </c>
      <c r="W168" s="88">
        <f>V168*$T$507</f>
        <v>4566245436.9703608</v>
      </c>
      <c r="X168" s="94">
        <f>W168*100/$W$173</f>
        <v>60.905841834775444</v>
      </c>
      <c r="Y168" t="s">
        <v>25</v>
      </c>
      <c r="Z168" t="s">
        <v>25</v>
      </c>
      <c r="AA168" t="s">
        <v>25</v>
      </c>
      <c r="AH168" s="97">
        <v>148</v>
      </c>
      <c r="AI168" s="111" t="s">
        <v>4909</v>
      </c>
      <c r="AJ168" s="111">
        <v>1000000</v>
      </c>
      <c r="AK168" s="97">
        <v>15</v>
      </c>
      <c r="AL168" s="20">
        <f t="shared" si="64"/>
        <v>606</v>
      </c>
      <c r="AM168" s="115">
        <f t="shared" si="65"/>
        <v>606000000</v>
      </c>
      <c r="AN168" s="20"/>
      <c r="AP168" t="s">
        <v>25</v>
      </c>
    </row>
    <row r="169" spans="7:43">
      <c r="N169" s="112"/>
      <c r="O169" s="112"/>
      <c r="P169" s="112"/>
      <c r="Q169" t="s">
        <v>25</v>
      </c>
      <c r="T169" s="94">
        <f>V167-V173</f>
        <v>1493032</v>
      </c>
      <c r="U169" s="285" t="s">
        <v>4409</v>
      </c>
      <c r="V169" s="285">
        <v>48626</v>
      </c>
      <c r="W169" s="88">
        <f>V169*$T$507</f>
        <v>84589383.810827002</v>
      </c>
      <c r="X169" s="94">
        <f>W169*100/$W$173</f>
        <v>1.1282765463219635</v>
      </c>
      <c r="Y169" t="s">
        <v>25</v>
      </c>
      <c r="AH169" s="97">
        <v>149</v>
      </c>
      <c r="AI169" s="111" t="s">
        <v>4936</v>
      </c>
      <c r="AJ169" s="111">
        <v>1130250</v>
      </c>
      <c r="AK169" s="97">
        <v>5</v>
      </c>
      <c r="AL169" s="20">
        <f t="shared" si="58"/>
        <v>591</v>
      </c>
      <c r="AM169" s="115">
        <f t="shared" si="61"/>
        <v>667977750</v>
      </c>
      <c r="AN169" s="20"/>
    </row>
    <row r="170" spans="7:43">
      <c r="O170" s="112"/>
      <c r="P170" s="112"/>
      <c r="Q170" t="s">
        <v>25</v>
      </c>
      <c r="T170" s="94"/>
      <c r="U170" s="285" t="s">
        <v>1071</v>
      </c>
      <c r="V170" s="285">
        <v>143206</v>
      </c>
      <c r="W170" s="88">
        <f>V170*$T$507</f>
        <v>249119962.53060693</v>
      </c>
      <c r="X170" s="94">
        <f>W170*100/$W$173</f>
        <v>3.3228308125813992</v>
      </c>
      <c r="Z170" t="s">
        <v>25</v>
      </c>
      <c r="AE170" s="94" t="s">
        <v>25</v>
      </c>
      <c r="AH170" s="97">
        <v>150</v>
      </c>
      <c r="AI170" s="111" t="s">
        <v>4944</v>
      </c>
      <c r="AJ170" s="111">
        <v>206000</v>
      </c>
      <c r="AK170" s="97">
        <v>2</v>
      </c>
      <c r="AL170" s="20">
        <f t="shared" si="58"/>
        <v>586</v>
      </c>
      <c r="AM170" s="115">
        <f t="shared" si="61"/>
        <v>120716000</v>
      </c>
      <c r="AN170" s="20"/>
    </row>
    <row r="171" spans="7:43">
      <c r="G171" s="97" t="s">
        <v>5451</v>
      </c>
      <c r="H171" s="97"/>
      <c r="I171" s="97"/>
      <c r="K171" t="s">
        <v>25</v>
      </c>
      <c r="M171" t="s">
        <v>25</v>
      </c>
      <c r="N171" s="112"/>
      <c r="O171" s="112"/>
      <c r="P171" s="112"/>
      <c r="T171" s="94"/>
      <c r="U171" s="285"/>
      <c r="V171" s="285"/>
      <c r="W171" s="285"/>
      <c r="X171" s="113"/>
      <c r="Y171" t="s">
        <v>25</v>
      </c>
      <c r="AH171" s="97">
        <v>151</v>
      </c>
      <c r="AI171" s="111" t="s">
        <v>4951</v>
      </c>
      <c r="AJ171" s="111">
        <v>50000</v>
      </c>
      <c r="AK171" s="97">
        <v>2</v>
      </c>
      <c r="AL171" s="20">
        <f t="shared" si="58"/>
        <v>584</v>
      </c>
      <c r="AM171" s="115">
        <f t="shared" si="61"/>
        <v>29200000</v>
      </c>
      <c r="AN171" s="20"/>
    </row>
    <row r="172" spans="7:43">
      <c r="G172" s="97" t="s">
        <v>452</v>
      </c>
      <c r="H172" s="97">
        <v>199</v>
      </c>
      <c r="I172" s="97" t="s">
        <v>5452</v>
      </c>
      <c r="P172" s="112"/>
      <c r="Q172" t="s">
        <v>25</v>
      </c>
      <c r="S172" t="s">
        <v>25</v>
      </c>
      <c r="T172" s="94" t="s">
        <v>25</v>
      </c>
      <c r="U172" s="87"/>
      <c r="V172" s="87">
        <f>SUM(V167:V170)</f>
        <v>4309759</v>
      </c>
      <c r="W172" s="87"/>
      <c r="X172" s="112" t="s">
        <v>25</v>
      </c>
      <c r="Y172" t="s">
        <v>25</v>
      </c>
      <c r="Z172" t="s">
        <v>25</v>
      </c>
      <c r="AH172" s="97">
        <v>152</v>
      </c>
      <c r="AI172" s="111" t="s">
        <v>4955</v>
      </c>
      <c r="AJ172" s="111">
        <v>105000</v>
      </c>
      <c r="AK172" s="97">
        <v>4</v>
      </c>
      <c r="AL172" s="20">
        <f t="shared" si="58"/>
        <v>582</v>
      </c>
      <c r="AM172" s="115">
        <f t="shared" si="61"/>
        <v>61110000</v>
      </c>
      <c r="AN172" s="20"/>
    </row>
    <row r="173" spans="7:43">
      <c r="G173" s="97" t="s">
        <v>744</v>
      </c>
      <c r="H173" s="97">
        <v>200</v>
      </c>
      <c r="I173" s="97" t="s">
        <v>5453</v>
      </c>
      <c r="M173" t="s">
        <v>25</v>
      </c>
      <c r="O173" s="112"/>
      <c r="P173" s="112"/>
      <c r="Q173" s="94" t="s">
        <v>25</v>
      </c>
      <c r="R173" s="94"/>
      <c r="S173" s="94" t="s">
        <v>25</v>
      </c>
      <c r="T173" s="94" t="s">
        <v>25</v>
      </c>
      <c r="U173" s="87"/>
      <c r="V173" s="87">
        <f>V172-U504</f>
        <v>0</v>
      </c>
      <c r="W173" s="140">
        <f>SUM(W167:W170)</f>
        <v>7497220791</v>
      </c>
      <c r="X173" s="94"/>
      <c r="Y173" t="s">
        <v>25</v>
      </c>
      <c r="Z173" t="s">
        <v>25</v>
      </c>
      <c r="AH173" s="97">
        <v>153</v>
      </c>
      <c r="AI173" s="111" t="s">
        <v>4959</v>
      </c>
      <c r="AJ173" s="111">
        <v>5000000</v>
      </c>
      <c r="AK173" s="97">
        <v>1</v>
      </c>
      <c r="AL173" s="20">
        <f t="shared" si="58"/>
        <v>578</v>
      </c>
      <c r="AM173" s="115">
        <f t="shared" si="61"/>
        <v>2890000000</v>
      </c>
      <c r="AN173" s="20"/>
    </row>
    <row r="174" spans="7:43">
      <c r="G174" s="97" t="s">
        <v>5427</v>
      </c>
      <c r="H174" s="97">
        <v>200</v>
      </c>
      <c r="I174" s="97" t="s">
        <v>5491</v>
      </c>
      <c r="O174" s="112"/>
      <c r="P174" s="112"/>
      <c r="Q174" s="94"/>
      <c r="R174" s="94"/>
      <c r="S174" s="94"/>
      <c r="T174" s="94" t="s">
        <v>25</v>
      </c>
      <c r="U174" s="87"/>
      <c r="V174" s="87" t="s">
        <v>5867</v>
      </c>
      <c r="W174" s="140">
        <f>R185-W170</f>
        <v>101080597.46939307</v>
      </c>
      <c r="X174" s="94"/>
      <c r="Y174" t="s">
        <v>25</v>
      </c>
      <c r="Z174" t="s">
        <v>25</v>
      </c>
      <c r="AA174" t="s">
        <v>25</v>
      </c>
      <c r="AH174" s="97">
        <v>154</v>
      </c>
      <c r="AI174" s="111" t="s">
        <v>4960</v>
      </c>
      <c r="AJ174" s="111">
        <v>2500000</v>
      </c>
      <c r="AK174" s="97">
        <v>2</v>
      </c>
      <c r="AL174" s="20">
        <f t="shared" si="58"/>
        <v>577</v>
      </c>
      <c r="AM174" s="115">
        <f t="shared" si="61"/>
        <v>1442500000</v>
      </c>
      <c r="AN174" s="20"/>
    </row>
    <row r="175" spans="7:43">
      <c r="G175" s="97" t="s">
        <v>1071</v>
      </c>
      <c r="H175" s="97">
        <v>200</v>
      </c>
      <c r="I175" s="97" t="s">
        <v>5454</v>
      </c>
      <c r="P175" s="112"/>
      <c r="Q175" s="94" t="s">
        <v>25</v>
      </c>
      <c r="R175" s="94"/>
      <c r="S175" s="94"/>
      <c r="T175" s="94" t="s">
        <v>25</v>
      </c>
      <c r="U175" s="87"/>
      <c r="V175" s="87" t="s">
        <v>5866</v>
      </c>
      <c r="W175" s="140">
        <f>W169-W174</f>
        <v>-16491213.658566073</v>
      </c>
      <c r="X175" s="94"/>
      <c r="Z175" t="s">
        <v>25</v>
      </c>
      <c r="AH175" s="251">
        <v>155</v>
      </c>
      <c r="AI175" s="247" t="s">
        <v>4966</v>
      </c>
      <c r="AJ175" s="247">
        <v>-50000000</v>
      </c>
      <c r="AK175" s="251">
        <v>7</v>
      </c>
      <c r="AL175" s="251">
        <f t="shared" si="58"/>
        <v>575</v>
      </c>
      <c r="AM175" s="247">
        <f t="shared" si="61"/>
        <v>-28750000000</v>
      </c>
      <c r="AN175" s="251" t="s">
        <v>4974</v>
      </c>
    </row>
    <row r="176" spans="7:43">
      <c r="G176" s="97"/>
      <c r="H176" s="97"/>
      <c r="I176" s="97"/>
      <c r="P176" s="112"/>
      <c r="Q176" s="94" t="s">
        <v>25</v>
      </c>
      <c r="R176" s="94"/>
      <c r="S176" s="94"/>
      <c r="T176" s="94"/>
      <c r="U176" s="87"/>
      <c r="V176" s="87" t="s">
        <v>4931</v>
      </c>
      <c r="W176" s="140">
        <f>W167+W175-R184</f>
        <v>-25208155.970360756</v>
      </c>
      <c r="X176" s="94"/>
      <c r="Y176" t="s">
        <v>25</v>
      </c>
      <c r="AH176" s="97">
        <v>156</v>
      </c>
      <c r="AI176" s="111" t="s">
        <v>4972</v>
      </c>
      <c r="AJ176" s="111">
        <v>10000000</v>
      </c>
      <c r="AK176" s="97">
        <v>12</v>
      </c>
      <c r="AL176" s="20">
        <f t="shared" si="58"/>
        <v>568</v>
      </c>
      <c r="AM176" s="115">
        <f t="shared" si="61"/>
        <v>5680000000</v>
      </c>
      <c r="AN176" s="20" t="s">
        <v>4678</v>
      </c>
    </row>
    <row r="177" spans="5:43">
      <c r="G177" s="97"/>
      <c r="H177" s="97"/>
      <c r="I177" s="97"/>
      <c r="P177" s="112"/>
      <c r="Q177" s="94"/>
      <c r="R177" s="94"/>
      <c r="S177" s="94"/>
      <c r="T177" s="94"/>
      <c r="U177" s="87"/>
      <c r="V177" s="87"/>
      <c r="W177" s="140"/>
      <c r="X177" s="113"/>
      <c r="Y177" t="s">
        <v>25</v>
      </c>
      <c r="AH177" s="97">
        <v>157</v>
      </c>
      <c r="AI177" s="111" t="s">
        <v>4979</v>
      </c>
      <c r="AJ177" s="111">
        <v>-16266000</v>
      </c>
      <c r="AK177" s="97">
        <v>1</v>
      </c>
      <c r="AL177" s="20">
        <f t="shared" si="58"/>
        <v>556</v>
      </c>
      <c r="AM177" s="115">
        <f t="shared" si="61"/>
        <v>-9043896000</v>
      </c>
      <c r="AN177" s="20" t="s">
        <v>4987</v>
      </c>
      <c r="AQ177" t="s">
        <v>25</v>
      </c>
    </row>
    <row r="178" spans="5:43">
      <c r="G178" s="97"/>
      <c r="H178" s="97"/>
      <c r="I178" s="97"/>
      <c r="K178" t="s">
        <v>25</v>
      </c>
      <c r="M178" t="s">
        <v>25</v>
      </c>
      <c r="P178" s="112"/>
      <c r="Q178" s="94"/>
      <c r="R178" s="94"/>
      <c r="S178" s="94"/>
      <c r="T178" s="94"/>
      <c r="V178" s="94"/>
      <c r="Y178" t="s">
        <v>25</v>
      </c>
      <c r="AH178" s="97">
        <v>158</v>
      </c>
      <c r="AI178" s="111" t="s">
        <v>4988</v>
      </c>
      <c r="AJ178" s="111">
        <v>1000000</v>
      </c>
      <c r="AK178" s="97">
        <v>6</v>
      </c>
      <c r="AL178" s="20">
        <f>AL179+AK178</f>
        <v>555</v>
      </c>
      <c r="AM178" s="115">
        <f>AJ178*AL178</f>
        <v>555000000</v>
      </c>
      <c r="AN178" s="20"/>
    </row>
    <row r="179" spans="5:43">
      <c r="G179" s="97"/>
      <c r="H179" s="97"/>
      <c r="I179" s="97"/>
      <c r="P179" s="112"/>
      <c r="Q179" s="94"/>
      <c r="R179" s="94"/>
      <c r="S179" s="94"/>
      <c r="T179" s="94" t="s">
        <v>25</v>
      </c>
      <c r="V179" s="94"/>
      <c r="AH179" s="97">
        <v>159</v>
      </c>
      <c r="AI179" s="111" t="s">
        <v>4996</v>
      </c>
      <c r="AJ179" s="111">
        <v>40000</v>
      </c>
      <c r="AK179" s="97">
        <v>5</v>
      </c>
      <c r="AL179" s="20">
        <f>AL180+AK179</f>
        <v>549</v>
      </c>
      <c r="AM179" s="115">
        <f>AJ179*AL179</f>
        <v>21960000</v>
      </c>
      <c r="AN179" s="20"/>
    </row>
    <row r="180" spans="5:43">
      <c r="P180" s="112"/>
      <c r="S180" s="94"/>
      <c r="T180" s="94"/>
      <c r="V180" s="94"/>
      <c r="AH180" s="97">
        <v>160</v>
      </c>
      <c r="AI180" s="111" t="s">
        <v>5004</v>
      </c>
      <c r="AJ180" s="111">
        <v>120000</v>
      </c>
      <c r="AK180" s="97">
        <v>6</v>
      </c>
      <c r="AL180" s="20">
        <f>AL181+AK180</f>
        <v>544</v>
      </c>
      <c r="AM180" s="115">
        <f>AJ180*AL180</f>
        <v>65280000</v>
      </c>
      <c r="AN180" s="20"/>
    </row>
    <row r="181" spans="5:43">
      <c r="G181" s="207" t="s">
        <v>180</v>
      </c>
      <c r="H181" s="207" t="s">
        <v>5477</v>
      </c>
      <c r="I181" t="s">
        <v>5470</v>
      </c>
      <c r="P181" s="112"/>
      <c r="Q181" s="94"/>
      <c r="R181" s="94"/>
      <c r="S181" s="94"/>
      <c r="T181" s="97" t="s">
        <v>180</v>
      </c>
      <c r="U181" s="97" t="s">
        <v>4436</v>
      </c>
      <c r="V181" s="97" t="s">
        <v>4437</v>
      </c>
      <c r="W181" s="97" t="s">
        <v>4447</v>
      </c>
      <c r="X181" s="97" t="s">
        <v>8</v>
      </c>
      <c r="Y181" t="s">
        <v>25</v>
      </c>
      <c r="AH181" s="97">
        <v>161</v>
      </c>
      <c r="AI181" s="111" t="s">
        <v>5001</v>
      </c>
      <c r="AJ181" s="111">
        <v>249000</v>
      </c>
      <c r="AK181" s="97">
        <v>9</v>
      </c>
      <c r="AL181" s="20">
        <f>AL182+AK181</f>
        <v>538</v>
      </c>
      <c r="AM181" s="115">
        <f>AJ181*AL181</f>
        <v>133962000</v>
      </c>
      <c r="AN181" s="20"/>
    </row>
    <row r="182" spans="5:43">
      <c r="E182" t="s">
        <v>25</v>
      </c>
      <c r="G182" s="207" t="s">
        <v>5440</v>
      </c>
      <c r="H182" s="1">
        <v>30000000</v>
      </c>
      <c r="I182" s="312" t="s">
        <v>5471</v>
      </c>
      <c r="P182" s="112"/>
      <c r="Q182" s="94"/>
      <c r="R182" s="94"/>
      <c r="S182" s="94"/>
      <c r="T182" s="111" t="s">
        <v>4420</v>
      </c>
      <c r="U182" s="54">
        <v>1000000</v>
      </c>
      <c r="V182" s="111">
        <v>239.024</v>
      </c>
      <c r="W182" s="111">
        <f t="shared" ref="W182:W283" si="66">U182*V182</f>
        <v>239024000</v>
      </c>
      <c r="X182" s="97"/>
      <c r="AH182" s="97">
        <v>162</v>
      </c>
      <c r="AI182" s="111" t="s">
        <v>5026</v>
      </c>
      <c r="AJ182" s="111">
        <v>65000</v>
      </c>
      <c r="AK182" s="97">
        <v>7</v>
      </c>
      <c r="AL182" s="20">
        <f>AL183+AK182</f>
        <v>529</v>
      </c>
      <c r="AM182" s="115">
        <f>AJ182*AL182</f>
        <v>34385000</v>
      </c>
      <c r="AN182" s="20"/>
    </row>
    <row r="183" spans="5:43">
      <c r="G183" s="207" t="s">
        <v>5441</v>
      </c>
      <c r="H183" s="1">
        <v>550000</v>
      </c>
      <c r="I183" t="s">
        <v>5472</v>
      </c>
      <c r="P183" s="112"/>
      <c r="Q183" s="36" t="s">
        <v>4515</v>
      </c>
      <c r="R183" s="93">
        <f>SUM(N44:N54)</f>
        <v>4525270412</v>
      </c>
      <c r="T183" s="166" t="s">
        <v>4402</v>
      </c>
      <c r="U183" s="54">
        <v>5904</v>
      </c>
      <c r="V183" s="111">
        <v>237.148</v>
      </c>
      <c r="W183" s="111">
        <f t="shared" si="66"/>
        <v>1400121.7919999999</v>
      </c>
      <c r="X183" s="97" t="s">
        <v>744</v>
      </c>
      <c r="Z183" t="s">
        <v>25</v>
      </c>
      <c r="AH183" s="97">
        <v>163</v>
      </c>
      <c r="AI183" s="111" t="s">
        <v>5035</v>
      </c>
      <c r="AJ183" s="111">
        <v>-312598</v>
      </c>
      <c r="AK183" s="97">
        <v>0</v>
      </c>
      <c r="AL183" s="20">
        <f t="shared" ref="AL183:AL190" si="67">AL184+AK183</f>
        <v>522</v>
      </c>
      <c r="AM183" s="115">
        <f t="shared" ref="AM183:AM190" si="68">AJ183*AL183</f>
        <v>-163176156</v>
      </c>
      <c r="AN183" s="20"/>
      <c r="AO183" t="s">
        <v>25</v>
      </c>
      <c r="AQ183" t="s">
        <v>25</v>
      </c>
    </row>
    <row r="184" spans="5:43">
      <c r="G184" s="207" t="s">
        <v>5442</v>
      </c>
      <c r="H184" s="1">
        <v>70370000</v>
      </c>
      <c r="I184" t="s">
        <v>4084</v>
      </c>
      <c r="P184" s="112"/>
      <c r="Q184" s="97" t="s">
        <v>4411</v>
      </c>
      <c r="R184" s="93">
        <f>SUM(N21:N25)</f>
        <v>2605982950</v>
      </c>
      <c r="T184" s="166" t="s">
        <v>4208</v>
      </c>
      <c r="U184" s="166">
        <v>1000</v>
      </c>
      <c r="V184" s="111">
        <v>247.393</v>
      </c>
      <c r="W184" s="111">
        <f t="shared" si="66"/>
        <v>247393</v>
      </c>
      <c r="X184" s="97" t="s">
        <v>744</v>
      </c>
      <c r="Y184" t="s">
        <v>25</v>
      </c>
      <c r="AH184" s="97">
        <v>164</v>
      </c>
      <c r="AI184" s="111" t="s">
        <v>5035</v>
      </c>
      <c r="AJ184" s="111">
        <v>50000</v>
      </c>
      <c r="AK184" s="97">
        <v>6</v>
      </c>
      <c r="AL184" s="20">
        <f t="shared" si="67"/>
        <v>522</v>
      </c>
      <c r="AM184" s="115">
        <f t="shared" si="68"/>
        <v>26100000</v>
      </c>
      <c r="AN184" s="20"/>
    </row>
    <row r="185" spans="5:43">
      <c r="G185" s="207" t="s">
        <v>5443</v>
      </c>
      <c r="H185" s="1">
        <v>1215000</v>
      </c>
      <c r="I185" t="s">
        <v>5473</v>
      </c>
      <c r="P185" s="112"/>
      <c r="Q185" s="97" t="s">
        <v>4412</v>
      </c>
      <c r="R185" s="93">
        <f>SUM(N28:N31)</f>
        <v>350200560</v>
      </c>
      <c r="T185" s="166" t="s">
        <v>4448</v>
      </c>
      <c r="U185" s="166">
        <v>8071</v>
      </c>
      <c r="V185" s="111">
        <v>247.797</v>
      </c>
      <c r="W185" s="111">
        <f t="shared" si="66"/>
        <v>1999969.5870000001</v>
      </c>
      <c r="X185" s="97" t="s">
        <v>4409</v>
      </c>
      <c r="Y185" t="s">
        <v>25</v>
      </c>
      <c r="AH185" s="97">
        <v>165</v>
      </c>
      <c r="AI185" s="111" t="s">
        <v>5045</v>
      </c>
      <c r="AJ185" s="111">
        <v>-200000</v>
      </c>
      <c r="AK185" s="97">
        <v>0</v>
      </c>
      <c r="AL185" s="20">
        <f t="shared" si="67"/>
        <v>516</v>
      </c>
      <c r="AM185" s="115">
        <f t="shared" si="68"/>
        <v>-103200000</v>
      </c>
      <c r="AN185" s="20" t="s">
        <v>5046</v>
      </c>
    </row>
    <row r="186" spans="5:43">
      <c r="G186" s="207" t="s">
        <v>5444</v>
      </c>
      <c r="H186" s="1">
        <v>15350000</v>
      </c>
      <c r="I186" s="312" t="s">
        <v>5474</v>
      </c>
      <c r="O186" s="94"/>
      <c r="P186" s="112"/>
      <c r="Q186" s="97" t="s">
        <v>4413</v>
      </c>
      <c r="R186" s="93">
        <f>N42</f>
        <v>364600</v>
      </c>
      <c r="T186" s="166" t="s">
        <v>4448</v>
      </c>
      <c r="U186" s="166">
        <v>53672</v>
      </c>
      <c r="V186" s="111">
        <v>247.797</v>
      </c>
      <c r="W186" s="111">
        <f t="shared" si="66"/>
        <v>13299760.584000001</v>
      </c>
      <c r="X186" s="97" t="s">
        <v>452</v>
      </c>
      <c r="Y186" t="s">
        <v>25</v>
      </c>
      <c r="AA186" t="s">
        <v>25</v>
      </c>
      <c r="AB186" t="s">
        <v>25</v>
      </c>
      <c r="AH186" s="97">
        <v>166</v>
      </c>
      <c r="AI186" s="111" t="s">
        <v>5045</v>
      </c>
      <c r="AJ186" s="111">
        <v>200000</v>
      </c>
      <c r="AK186" s="97">
        <v>3</v>
      </c>
      <c r="AL186" s="20">
        <f t="shared" si="67"/>
        <v>516</v>
      </c>
      <c r="AM186" s="115">
        <f t="shared" si="68"/>
        <v>103200000</v>
      </c>
      <c r="AN186" s="20"/>
      <c r="AQ186" t="s">
        <v>25</v>
      </c>
    </row>
    <row r="187" spans="5:43">
      <c r="G187" s="207" t="s">
        <v>5445</v>
      </c>
      <c r="H187" s="1">
        <v>70000</v>
      </c>
      <c r="I187" t="s">
        <v>5475</v>
      </c>
      <c r="O187" t="s">
        <v>25</v>
      </c>
      <c r="P187" s="112"/>
      <c r="Q187" s="97" t="s">
        <v>4414</v>
      </c>
      <c r="R187" s="93">
        <f>N20</f>
        <v>324</v>
      </c>
      <c r="T187" s="166" t="s">
        <v>4456</v>
      </c>
      <c r="U187" s="166">
        <v>4099</v>
      </c>
      <c r="V187" s="111">
        <v>243.93</v>
      </c>
      <c r="W187" s="111">
        <f t="shared" si="66"/>
        <v>999869.07000000007</v>
      </c>
      <c r="X187" s="97" t="s">
        <v>4409</v>
      </c>
      <c r="AH187" s="97">
        <v>167</v>
      </c>
      <c r="AI187" s="111" t="s">
        <v>5052</v>
      </c>
      <c r="AJ187" s="111">
        <v>200000</v>
      </c>
      <c r="AK187" s="97">
        <v>3</v>
      </c>
      <c r="AL187" s="20">
        <f t="shared" si="67"/>
        <v>513</v>
      </c>
      <c r="AM187" s="115">
        <f t="shared" si="68"/>
        <v>102600000</v>
      </c>
      <c r="AN187" s="20"/>
    </row>
    <row r="188" spans="5:43">
      <c r="G188" s="207" t="s">
        <v>5449</v>
      </c>
      <c r="H188" s="1">
        <v>800000</v>
      </c>
      <c r="I188" t="s">
        <v>5476</v>
      </c>
      <c r="P188" s="112"/>
      <c r="Q188" s="97" t="s">
        <v>4415</v>
      </c>
      <c r="R188" s="93">
        <f>N27</f>
        <v>1285</v>
      </c>
      <c r="T188" s="166" t="s">
        <v>4456</v>
      </c>
      <c r="U188" s="166">
        <v>9301</v>
      </c>
      <c r="V188" s="111">
        <v>243.93</v>
      </c>
      <c r="W188" s="111">
        <f t="shared" si="66"/>
        <v>2268792.9300000002</v>
      </c>
      <c r="X188" s="97" t="s">
        <v>452</v>
      </c>
      <c r="Z188" t="s">
        <v>25</v>
      </c>
      <c r="AH188" s="97">
        <v>168</v>
      </c>
      <c r="AI188" s="111" t="s">
        <v>5055</v>
      </c>
      <c r="AJ188" s="111">
        <v>30000</v>
      </c>
      <c r="AK188" s="97">
        <v>7</v>
      </c>
      <c r="AL188" s="20">
        <f t="shared" si="67"/>
        <v>510</v>
      </c>
      <c r="AM188" s="115">
        <f t="shared" si="68"/>
        <v>15300000</v>
      </c>
      <c r="AN188" s="20"/>
    </row>
    <row r="189" spans="5:43">
      <c r="G189" s="207" t="s">
        <v>5465</v>
      </c>
      <c r="H189" s="1">
        <v>1948000</v>
      </c>
      <c r="O189" t="s">
        <v>25</v>
      </c>
      <c r="P189" s="112"/>
      <c r="Q189" s="97"/>
      <c r="R189" s="93"/>
      <c r="S189" t="s">
        <v>25</v>
      </c>
      <c r="T189" s="166" t="s">
        <v>4460</v>
      </c>
      <c r="U189" s="166">
        <v>8334</v>
      </c>
      <c r="V189" s="111">
        <v>239.97</v>
      </c>
      <c r="W189" s="111">
        <f t="shared" si="66"/>
        <v>1999909.98</v>
      </c>
      <c r="X189" s="97" t="s">
        <v>4409</v>
      </c>
      <c r="AH189" s="97">
        <v>169</v>
      </c>
      <c r="AI189" s="111" t="s">
        <v>5014</v>
      </c>
      <c r="AJ189" s="111">
        <v>-10000000</v>
      </c>
      <c r="AK189" s="97">
        <v>0</v>
      </c>
      <c r="AL189" s="20">
        <f t="shared" si="67"/>
        <v>503</v>
      </c>
      <c r="AM189" s="115">
        <f t="shared" si="68"/>
        <v>-5030000000</v>
      </c>
      <c r="AN189" s="20" t="s">
        <v>4974</v>
      </c>
    </row>
    <row r="190" spans="5:43">
      <c r="G190" s="207" t="s">
        <v>5492</v>
      </c>
      <c r="H190" s="1">
        <v>5745697.3157000002</v>
      </c>
      <c r="P190" s="112"/>
      <c r="Q190" s="97" t="s">
        <v>5062</v>
      </c>
      <c r="R190" s="93">
        <v>0</v>
      </c>
      <c r="T190" s="166" t="s">
        <v>4207</v>
      </c>
      <c r="U190" s="166">
        <v>29041</v>
      </c>
      <c r="V190" s="111">
        <v>233.45</v>
      </c>
      <c r="W190" s="111">
        <f t="shared" si="66"/>
        <v>6779621.4499999993</v>
      </c>
      <c r="X190" s="97" t="s">
        <v>744</v>
      </c>
      <c r="Y190" s="120" t="s">
        <v>25</v>
      </c>
      <c r="AH190" s="97">
        <v>170</v>
      </c>
      <c r="AI190" s="111" t="s">
        <v>5014</v>
      </c>
      <c r="AJ190" s="111">
        <v>6000000</v>
      </c>
      <c r="AK190" s="97">
        <v>8</v>
      </c>
      <c r="AL190" s="20">
        <f t="shared" si="67"/>
        <v>503</v>
      </c>
      <c r="AM190" s="115">
        <f t="shared" si="68"/>
        <v>3018000000</v>
      </c>
      <c r="AN190" s="20"/>
      <c r="AP190" t="s">
        <v>25</v>
      </c>
    </row>
    <row r="191" spans="5:43">
      <c r="G191" s="207" t="s">
        <v>5493</v>
      </c>
      <c r="H191" s="1">
        <v>908158.17935999995</v>
      </c>
      <c r="P191" s="112" t="s">
        <v>25</v>
      </c>
      <c r="Q191" s="97" t="s">
        <v>6537</v>
      </c>
      <c r="R191" s="93">
        <v>5634660</v>
      </c>
      <c r="S191" s="94"/>
      <c r="T191" s="166" t="s">
        <v>979</v>
      </c>
      <c r="U191" s="166">
        <v>12337</v>
      </c>
      <c r="V191" s="111">
        <v>243.16300000000001</v>
      </c>
      <c r="W191" s="111">
        <f t="shared" si="66"/>
        <v>2999901.9310000003</v>
      </c>
      <c r="X191" s="97" t="s">
        <v>4409</v>
      </c>
      <c r="AH191" s="97">
        <v>171</v>
      </c>
      <c r="AI191" s="111" t="s">
        <v>5079</v>
      </c>
      <c r="AJ191" s="111">
        <v>150000</v>
      </c>
      <c r="AK191" s="97">
        <v>7</v>
      </c>
      <c r="AL191" s="20">
        <f>AL192+AK191</f>
        <v>495</v>
      </c>
      <c r="AM191" s="115">
        <f>AJ191*AL191</f>
        <v>74250000</v>
      </c>
      <c r="AN191" s="20"/>
    </row>
    <row r="192" spans="5:43">
      <c r="G192" s="207" t="s">
        <v>5494</v>
      </c>
      <c r="H192" s="1">
        <v>12642697.648548001</v>
      </c>
      <c r="O192" t="s">
        <v>25</v>
      </c>
      <c r="P192" s="112"/>
      <c r="Q192" s="97"/>
      <c r="R192" s="93"/>
      <c r="S192" s="94"/>
      <c r="T192" s="166" t="s">
        <v>4533</v>
      </c>
      <c r="U192" s="166">
        <v>-16118</v>
      </c>
      <c r="V192" s="111">
        <v>248.17</v>
      </c>
      <c r="W192" s="111">
        <f t="shared" si="66"/>
        <v>-4000004.0599999996</v>
      </c>
      <c r="X192" s="97" t="s">
        <v>744</v>
      </c>
      <c r="Y192" t="s">
        <v>25</v>
      </c>
      <c r="AH192" s="97">
        <v>172</v>
      </c>
      <c r="AI192" s="111" t="s">
        <v>5112</v>
      </c>
      <c r="AJ192" s="111">
        <v>400000</v>
      </c>
      <c r="AK192" s="97">
        <v>1</v>
      </c>
      <c r="AL192" s="20">
        <f>AL193+AK192</f>
        <v>488</v>
      </c>
      <c r="AM192" s="115">
        <f>AJ192*AL192</f>
        <v>195200000</v>
      </c>
      <c r="AN192" s="20"/>
    </row>
    <row r="193" spans="7:45" ht="30">
      <c r="G193" s="207" t="s">
        <v>5495</v>
      </c>
      <c r="H193" s="1">
        <v>12297318</v>
      </c>
      <c r="I193" t="s">
        <v>25</v>
      </c>
      <c r="P193" s="112"/>
      <c r="Q193" s="36" t="s">
        <v>6481</v>
      </c>
      <c r="R193" s="93">
        <v>6200000</v>
      </c>
      <c r="T193" s="166" t="s">
        <v>4554</v>
      </c>
      <c r="U193" s="166">
        <v>101681</v>
      </c>
      <c r="V193" s="111">
        <v>246.5711</v>
      </c>
      <c r="W193" s="111">
        <f t="shared" si="66"/>
        <v>25071596.019099999</v>
      </c>
      <c r="X193" s="97" t="s">
        <v>452</v>
      </c>
      <c r="AH193" s="97">
        <v>173</v>
      </c>
      <c r="AI193" s="111" t="s">
        <v>5115</v>
      </c>
      <c r="AJ193" s="111">
        <v>-100000</v>
      </c>
      <c r="AK193" s="97">
        <v>1</v>
      </c>
      <c r="AL193" s="20">
        <f>AL194+AK193</f>
        <v>487</v>
      </c>
      <c r="AM193" s="115">
        <f>AJ193*AL193</f>
        <v>-48700000</v>
      </c>
      <c r="AN193" s="20"/>
    </row>
    <row r="194" spans="7:45">
      <c r="G194" s="207" t="s">
        <v>5496</v>
      </c>
      <c r="H194" s="1">
        <v>8959644</v>
      </c>
      <c r="Q194" s="36"/>
      <c r="R194" s="93"/>
      <c r="S194" s="94"/>
      <c r="T194" s="166" t="s">
        <v>4558</v>
      </c>
      <c r="U194" s="166">
        <v>66606</v>
      </c>
      <c r="V194" s="111">
        <v>251.131</v>
      </c>
      <c r="W194" s="111">
        <f t="shared" si="66"/>
        <v>16726831.386</v>
      </c>
      <c r="X194" s="97" t="s">
        <v>744</v>
      </c>
      <c r="AH194" s="97">
        <v>174</v>
      </c>
      <c r="AI194" s="111" t="s">
        <v>5119</v>
      </c>
      <c r="AJ194" s="111">
        <v>10000000</v>
      </c>
      <c r="AK194" s="97">
        <v>1</v>
      </c>
      <c r="AL194" s="20">
        <f>AL195+AK194</f>
        <v>486</v>
      </c>
      <c r="AM194" s="115">
        <f>AJ194*AL194</f>
        <v>4860000000</v>
      </c>
      <c r="AN194" s="20" t="s">
        <v>4678</v>
      </c>
      <c r="AS194" t="s">
        <v>25</v>
      </c>
    </row>
    <row r="195" spans="7:45" ht="30">
      <c r="G195" s="207" t="s">
        <v>5497</v>
      </c>
      <c r="H195" s="111">
        <v>15154095.839328</v>
      </c>
      <c r="Q195" s="36" t="s">
        <v>6505</v>
      </c>
      <c r="R195" s="93">
        <v>3100000</v>
      </c>
      <c r="S195" s="94"/>
      <c r="T195" s="166" t="s">
        <v>4563</v>
      </c>
      <c r="U195" s="166">
        <v>172025</v>
      </c>
      <c r="V195" s="111">
        <v>245.52809999999999</v>
      </c>
      <c r="W195" s="111">
        <f t="shared" si="66"/>
        <v>42236971.402499996</v>
      </c>
      <c r="X195" s="97" t="s">
        <v>452</v>
      </c>
      <c r="AH195" s="97">
        <v>175</v>
      </c>
      <c r="AI195" s="111" t="s">
        <v>5124</v>
      </c>
      <c r="AJ195" s="111">
        <v>-400000</v>
      </c>
      <c r="AK195" s="97">
        <v>6</v>
      </c>
      <c r="AL195" s="20">
        <f t="shared" ref="AL195:AL203" si="69">AL196+AK195</f>
        <v>485</v>
      </c>
      <c r="AM195" s="115">
        <f t="shared" ref="AM195:AM203" si="70">AJ195*AL195</f>
        <v>-194000000</v>
      </c>
      <c r="AN195" s="20"/>
    </row>
    <row r="196" spans="7:45">
      <c r="G196" s="207" t="s">
        <v>5502</v>
      </c>
      <c r="H196" s="111">
        <v>4108143</v>
      </c>
      <c r="Q196" s="97" t="s">
        <v>6506</v>
      </c>
      <c r="R196" s="93">
        <f>-1000*P50</f>
        <v>-964000</v>
      </c>
      <c r="S196" s="94"/>
      <c r="T196" s="166" t="s">
        <v>4563</v>
      </c>
      <c r="U196" s="166">
        <v>189227</v>
      </c>
      <c r="V196" s="111">
        <v>245.52809999999999</v>
      </c>
      <c r="W196" s="111">
        <f t="shared" si="66"/>
        <v>46460545.778700002</v>
      </c>
      <c r="X196" s="97" t="s">
        <v>744</v>
      </c>
      <c r="AH196" s="97">
        <v>176</v>
      </c>
      <c r="AI196" s="111" t="s">
        <v>5131</v>
      </c>
      <c r="AJ196" s="111">
        <v>1300000</v>
      </c>
      <c r="AK196" s="97">
        <v>0</v>
      </c>
      <c r="AL196" s="20">
        <f t="shared" si="69"/>
        <v>479</v>
      </c>
      <c r="AM196" s="115">
        <f t="shared" si="70"/>
        <v>622700000</v>
      </c>
      <c r="AN196" s="20"/>
      <c r="AR196" t="s">
        <v>25</v>
      </c>
    </row>
    <row r="197" spans="7:45" ht="30">
      <c r="G197" s="207" t="s">
        <v>5504</v>
      </c>
      <c r="H197" s="111">
        <v>6000000</v>
      </c>
      <c r="Q197" s="36" t="s">
        <v>6518</v>
      </c>
      <c r="R197" s="93">
        <v>37200000</v>
      </c>
      <c r="S197" s="94"/>
      <c r="T197" s="166" t="s">
        <v>4564</v>
      </c>
      <c r="U197" s="166">
        <v>79720</v>
      </c>
      <c r="V197" s="111">
        <v>246.6568</v>
      </c>
      <c r="W197" s="111">
        <f t="shared" si="66"/>
        <v>19663480.096000001</v>
      </c>
      <c r="X197" s="97" t="s">
        <v>452</v>
      </c>
      <c r="Y197" s="8" t="s">
        <v>25</v>
      </c>
      <c r="Z197" t="s">
        <v>25</v>
      </c>
      <c r="AH197" s="97">
        <v>177</v>
      </c>
      <c r="AI197" s="111" t="s">
        <v>5131</v>
      </c>
      <c r="AJ197" s="111">
        <v>230000</v>
      </c>
      <c r="AK197" s="97">
        <v>1</v>
      </c>
      <c r="AL197" s="20">
        <f t="shared" si="69"/>
        <v>479</v>
      </c>
      <c r="AM197" s="115">
        <f t="shared" si="70"/>
        <v>110170000</v>
      </c>
      <c r="AN197" s="20"/>
    </row>
    <row r="198" spans="7:45">
      <c r="G198" s="207" t="s">
        <v>5508</v>
      </c>
      <c r="H198" s="111">
        <v>8301786</v>
      </c>
      <c r="I198" t="s">
        <v>25</v>
      </c>
      <c r="J198" t="s">
        <v>25</v>
      </c>
      <c r="Q198" s="36" t="s">
        <v>6519</v>
      </c>
      <c r="R198" s="93">
        <f>-98000*P45</f>
        <v>-35770000</v>
      </c>
      <c r="S198" s="94"/>
      <c r="T198" s="166" t="s">
        <v>4564</v>
      </c>
      <c r="U198" s="166">
        <v>79720</v>
      </c>
      <c r="V198" s="111">
        <v>246.6568</v>
      </c>
      <c r="W198" s="111">
        <f t="shared" si="66"/>
        <v>19663480.096000001</v>
      </c>
      <c r="X198" s="97" t="s">
        <v>744</v>
      </c>
      <c r="AH198" s="97">
        <v>178</v>
      </c>
      <c r="AI198" s="111" t="s">
        <v>5134</v>
      </c>
      <c r="AJ198" s="111">
        <v>880000</v>
      </c>
      <c r="AK198" s="97">
        <v>4</v>
      </c>
      <c r="AL198" s="20">
        <f t="shared" si="69"/>
        <v>478</v>
      </c>
      <c r="AM198" s="115">
        <f t="shared" si="70"/>
        <v>420640000</v>
      </c>
      <c r="AN198" s="20"/>
    </row>
    <row r="199" spans="7:45">
      <c r="G199" s="207" t="s">
        <v>5512</v>
      </c>
      <c r="H199" s="111">
        <v>50725508.571864001</v>
      </c>
      <c r="J199" t="s">
        <v>25</v>
      </c>
      <c r="Q199" s="36"/>
      <c r="R199" s="93"/>
      <c r="S199" s="94"/>
      <c r="T199" s="166" t="s">
        <v>4585</v>
      </c>
      <c r="U199" s="166">
        <v>17769</v>
      </c>
      <c r="V199" s="111">
        <v>246.17877999999999</v>
      </c>
      <c r="W199" s="111">
        <f t="shared" si="66"/>
        <v>4374350.7418200001</v>
      </c>
      <c r="X199" s="97" t="s">
        <v>744</v>
      </c>
      <c r="AH199" s="97">
        <v>179</v>
      </c>
      <c r="AI199" s="111" t="s">
        <v>5138</v>
      </c>
      <c r="AJ199" s="111">
        <v>-900000</v>
      </c>
      <c r="AK199" s="97">
        <v>1</v>
      </c>
      <c r="AL199" s="20">
        <f t="shared" si="69"/>
        <v>474</v>
      </c>
      <c r="AM199" s="115">
        <f t="shared" si="70"/>
        <v>-426600000</v>
      </c>
      <c r="AN199" s="20"/>
    </row>
    <row r="200" spans="7:45">
      <c r="G200" s="207" t="s">
        <v>5513</v>
      </c>
      <c r="H200" s="111">
        <v>2281961.458596</v>
      </c>
      <c r="P200" s="112"/>
      <c r="Q200" s="97"/>
      <c r="R200" s="93"/>
      <c r="S200" s="94"/>
      <c r="T200" s="166" t="s">
        <v>4585</v>
      </c>
      <c r="U200" s="166">
        <v>17769</v>
      </c>
      <c r="V200" s="111">
        <v>246.17877999999999</v>
      </c>
      <c r="W200" s="111">
        <f t="shared" si="66"/>
        <v>4374350.7418200001</v>
      </c>
      <c r="X200" s="97" t="s">
        <v>452</v>
      </c>
      <c r="AH200" s="97">
        <v>180</v>
      </c>
      <c r="AI200" s="111" t="s">
        <v>977</v>
      </c>
      <c r="AJ200" s="111">
        <v>-3500000</v>
      </c>
      <c r="AK200" s="97">
        <v>1</v>
      </c>
      <c r="AL200" s="20">
        <f t="shared" si="69"/>
        <v>473</v>
      </c>
      <c r="AM200" s="115">
        <f t="shared" si="70"/>
        <v>-1655500000</v>
      </c>
      <c r="AN200" s="20"/>
      <c r="AR200" t="s">
        <v>25</v>
      </c>
    </row>
    <row r="201" spans="7:45">
      <c r="G201" s="207" t="s">
        <v>5520</v>
      </c>
      <c r="H201" s="111">
        <v>10998285</v>
      </c>
      <c r="K201" t="s">
        <v>25</v>
      </c>
      <c r="O201" t="s">
        <v>25</v>
      </c>
      <c r="P201" s="112"/>
      <c r="Q201" s="97"/>
      <c r="R201" s="93"/>
      <c r="S201" s="113" t="s">
        <v>25</v>
      </c>
      <c r="T201" s="166" t="s">
        <v>4587</v>
      </c>
      <c r="U201" s="166">
        <v>12438</v>
      </c>
      <c r="V201" s="111">
        <v>241.20465999999999</v>
      </c>
      <c r="W201" s="111">
        <f t="shared" si="66"/>
        <v>3000103.5610799999</v>
      </c>
      <c r="X201" s="97" t="s">
        <v>4409</v>
      </c>
      <c r="AH201" s="97">
        <v>181</v>
      </c>
      <c r="AI201" s="111" t="s">
        <v>4256</v>
      </c>
      <c r="AJ201" s="111">
        <v>-1600000</v>
      </c>
      <c r="AK201" s="97">
        <v>1</v>
      </c>
      <c r="AL201" s="20">
        <f t="shared" si="69"/>
        <v>472</v>
      </c>
      <c r="AM201" s="115">
        <f t="shared" si="70"/>
        <v>-755200000</v>
      </c>
      <c r="AN201" s="20"/>
      <c r="AQ201" t="s">
        <v>25</v>
      </c>
    </row>
    <row r="202" spans="7:45">
      <c r="G202" s="207" t="s">
        <v>5521</v>
      </c>
      <c r="H202" s="111">
        <v>983018.96187300002</v>
      </c>
      <c r="J202" t="s">
        <v>25</v>
      </c>
      <c r="P202" s="112"/>
      <c r="Q202" s="97"/>
      <c r="R202" s="93"/>
      <c r="S202" s="120" t="s">
        <v>25</v>
      </c>
      <c r="T202" s="166" t="s">
        <v>4596</v>
      </c>
      <c r="U202" s="166">
        <v>27363</v>
      </c>
      <c r="V202" s="111">
        <v>239.3886</v>
      </c>
      <c r="W202" s="111">
        <f t="shared" si="66"/>
        <v>6550390.2617999995</v>
      </c>
      <c r="X202" s="97" t="s">
        <v>744</v>
      </c>
      <c r="AH202" s="97">
        <v>182</v>
      </c>
      <c r="AI202" s="111" t="s">
        <v>5143</v>
      </c>
      <c r="AJ202" s="111">
        <v>-800000</v>
      </c>
      <c r="AK202" s="97">
        <v>7</v>
      </c>
      <c r="AL202" s="20">
        <f t="shared" si="69"/>
        <v>471</v>
      </c>
      <c r="AM202" s="115">
        <f t="shared" si="70"/>
        <v>-376800000</v>
      </c>
      <c r="AN202" s="20"/>
    </row>
    <row r="203" spans="7:45">
      <c r="G203" s="207" t="s">
        <v>5523</v>
      </c>
      <c r="H203" s="111">
        <v>17049271.032000002</v>
      </c>
      <c r="I203" s="94"/>
      <c r="J203" t="s">
        <v>25</v>
      </c>
      <c r="P203" s="112"/>
      <c r="Q203" s="97" t="s">
        <v>5063</v>
      </c>
      <c r="R203" s="93">
        <v>0</v>
      </c>
      <c r="S203" s="120"/>
      <c r="T203" s="166" t="s">
        <v>4596</v>
      </c>
      <c r="U203" s="166">
        <v>27363</v>
      </c>
      <c r="V203" s="111">
        <v>239.3886</v>
      </c>
      <c r="W203" s="111">
        <f t="shared" si="66"/>
        <v>6550390.2617999995</v>
      </c>
      <c r="X203" s="97" t="s">
        <v>452</v>
      </c>
      <c r="AH203" s="97">
        <v>183</v>
      </c>
      <c r="AI203" s="111" t="s">
        <v>5151</v>
      </c>
      <c r="AJ203" s="111">
        <v>50000</v>
      </c>
      <c r="AK203" s="97">
        <v>2</v>
      </c>
      <c r="AL203" s="20">
        <f t="shared" si="69"/>
        <v>464</v>
      </c>
      <c r="AM203" s="115">
        <f t="shared" si="70"/>
        <v>23200000</v>
      </c>
      <c r="AN203" s="20"/>
    </row>
    <row r="204" spans="7:45">
      <c r="G204" s="207" t="s">
        <v>5526</v>
      </c>
      <c r="H204" s="111">
        <v>6829998</v>
      </c>
      <c r="I204" s="94"/>
      <c r="P204" s="112"/>
      <c r="Q204" s="97"/>
      <c r="R204" s="93"/>
      <c r="S204" s="113"/>
      <c r="T204" s="205" t="s">
        <v>4598</v>
      </c>
      <c r="U204" s="205">
        <v>27437</v>
      </c>
      <c r="V204" s="111">
        <v>242.4015</v>
      </c>
      <c r="W204" s="111">
        <f t="shared" si="66"/>
        <v>6650769.9555000002</v>
      </c>
      <c r="X204" s="97" t="s">
        <v>744</v>
      </c>
      <c r="AH204" s="97">
        <v>184</v>
      </c>
      <c r="AI204" s="111" t="s">
        <v>5153</v>
      </c>
      <c r="AJ204" s="111">
        <v>400000</v>
      </c>
      <c r="AK204" s="97">
        <v>8</v>
      </c>
      <c r="AL204" s="20">
        <f t="shared" ref="AL204:AL213" si="71">AL205+AK204</f>
        <v>462</v>
      </c>
      <c r="AM204" s="115">
        <f t="shared" ref="AM204:AM213" si="72">AJ204*AL204</f>
        <v>184800000</v>
      </c>
      <c r="AN204" s="20"/>
      <c r="AR204" t="s">
        <v>25</v>
      </c>
    </row>
    <row r="205" spans="7:45">
      <c r="G205" s="207" t="s">
        <v>4212</v>
      </c>
      <c r="H205" s="111">
        <v>6982608.8207999999</v>
      </c>
      <c r="I205" s="94"/>
      <c r="P205" s="112"/>
      <c r="Q205" s="97"/>
      <c r="R205" s="93"/>
      <c r="S205" s="113"/>
      <c r="T205" s="205" t="s">
        <v>4598</v>
      </c>
      <c r="U205" s="205">
        <v>29104</v>
      </c>
      <c r="V205" s="111">
        <v>242.4015</v>
      </c>
      <c r="W205" s="111">
        <f t="shared" si="66"/>
        <v>7054853.2560000001</v>
      </c>
      <c r="X205" s="97" t="s">
        <v>452</v>
      </c>
      <c r="AH205" s="97">
        <v>185</v>
      </c>
      <c r="AI205" s="111" t="s">
        <v>5129</v>
      </c>
      <c r="AJ205" s="111">
        <v>-10000000</v>
      </c>
      <c r="AK205" s="97">
        <v>0</v>
      </c>
      <c r="AL205" s="20">
        <f t="shared" si="71"/>
        <v>454</v>
      </c>
      <c r="AM205" s="115">
        <f t="shared" si="72"/>
        <v>-4540000000</v>
      </c>
      <c r="AN205" s="20" t="s">
        <v>4974</v>
      </c>
    </row>
    <row r="206" spans="7:45">
      <c r="G206" s="207" t="s">
        <v>5547</v>
      </c>
      <c r="H206" s="111">
        <v>7510131.0216000006</v>
      </c>
      <c r="I206" s="94"/>
      <c r="J206" t="s">
        <v>25</v>
      </c>
      <c r="P206" s="112"/>
      <c r="Q206" s="97" t="s">
        <v>4419</v>
      </c>
      <c r="R206" s="93">
        <f>SUM(R183:R205)</f>
        <v>7497220791</v>
      </c>
      <c r="T206" s="207" t="s">
        <v>4614</v>
      </c>
      <c r="U206" s="207">
        <v>8991</v>
      </c>
      <c r="V206" s="111">
        <v>238.64867000000001</v>
      </c>
      <c r="W206" s="111">
        <f t="shared" si="66"/>
        <v>2145690.19197</v>
      </c>
      <c r="X206" s="97" t="s">
        <v>744</v>
      </c>
      <c r="AH206" s="97">
        <v>186</v>
      </c>
      <c r="AI206" s="111" t="s">
        <v>5129</v>
      </c>
      <c r="AJ206" s="111">
        <v>3000000</v>
      </c>
      <c r="AK206" s="97">
        <v>1</v>
      </c>
      <c r="AL206" s="20">
        <f t="shared" si="71"/>
        <v>454</v>
      </c>
      <c r="AM206" s="115">
        <f t="shared" si="72"/>
        <v>1362000000</v>
      </c>
      <c r="AN206" s="20"/>
    </row>
    <row r="207" spans="7:45">
      <c r="G207" s="207" t="s">
        <v>5553</v>
      </c>
      <c r="H207" s="111">
        <v>10397191</v>
      </c>
      <c r="J207" t="s">
        <v>25</v>
      </c>
      <c r="K207" t="s">
        <v>25</v>
      </c>
      <c r="P207" s="112"/>
      <c r="Q207" s="94"/>
      <c r="T207" s="207" t="s">
        <v>4614</v>
      </c>
      <c r="U207" s="207">
        <v>8991</v>
      </c>
      <c r="V207" s="111">
        <v>238.64867000000001</v>
      </c>
      <c r="W207" s="111">
        <f t="shared" si="66"/>
        <v>2145690.19197</v>
      </c>
      <c r="X207" s="97" t="s">
        <v>452</v>
      </c>
      <c r="AH207" s="97">
        <v>187</v>
      </c>
      <c r="AI207" s="111" t="s">
        <v>5165</v>
      </c>
      <c r="AJ207" s="111">
        <v>500000</v>
      </c>
      <c r="AK207" s="97">
        <v>23</v>
      </c>
      <c r="AL207" s="20">
        <f t="shared" si="71"/>
        <v>453</v>
      </c>
      <c r="AM207" s="115">
        <f t="shared" si="72"/>
        <v>226500000</v>
      </c>
      <c r="AN207" s="20"/>
      <c r="AR207" t="s">
        <v>25</v>
      </c>
    </row>
    <row r="208" spans="7:45">
      <c r="G208" s="207" t="s">
        <v>5562</v>
      </c>
      <c r="H208" s="111">
        <v>195059.35799999998</v>
      </c>
      <c r="J208" t="s">
        <v>25</v>
      </c>
      <c r="T208" s="207" t="s">
        <v>4625</v>
      </c>
      <c r="U208" s="207">
        <v>18170</v>
      </c>
      <c r="V208" s="111">
        <v>240.48475999999999</v>
      </c>
      <c r="W208" s="111">
        <f t="shared" si="66"/>
        <v>4369608.0892000003</v>
      </c>
      <c r="X208" s="97" t="s">
        <v>744</v>
      </c>
      <c r="AH208" s="97">
        <v>188</v>
      </c>
      <c r="AI208" s="111" t="s">
        <v>5186</v>
      </c>
      <c r="AJ208" s="111">
        <v>101268</v>
      </c>
      <c r="AK208" s="97">
        <v>1</v>
      </c>
      <c r="AL208" s="20">
        <f t="shared" si="71"/>
        <v>430</v>
      </c>
      <c r="AM208" s="115">
        <f t="shared" si="72"/>
        <v>43545240</v>
      </c>
      <c r="AN208" s="20"/>
      <c r="AR208" t="s">
        <v>25</v>
      </c>
    </row>
    <row r="209" spans="7:46">
      <c r="G209" s="207" t="s">
        <v>5567</v>
      </c>
      <c r="H209" s="111">
        <v>744082</v>
      </c>
      <c r="O209" t="s">
        <v>25</v>
      </c>
      <c r="P209" s="112"/>
      <c r="Q209" s="207" t="s">
        <v>8</v>
      </c>
      <c r="R209" s="207" t="s">
        <v>4409</v>
      </c>
      <c r="S209" s="207"/>
      <c r="T209" s="207" t="s">
        <v>4625</v>
      </c>
      <c r="U209" s="207">
        <v>18170</v>
      </c>
      <c r="V209" s="111">
        <v>240.48475999999999</v>
      </c>
      <c r="W209" s="111">
        <f t="shared" si="66"/>
        <v>4369608.0892000003</v>
      </c>
      <c r="X209" s="97" t="s">
        <v>452</v>
      </c>
      <c r="AH209" s="97">
        <v>189</v>
      </c>
      <c r="AI209" s="111" t="s">
        <v>5189</v>
      </c>
      <c r="AJ209" s="111">
        <v>101000</v>
      </c>
      <c r="AK209" s="97">
        <v>34</v>
      </c>
      <c r="AL209" s="20">
        <f t="shared" si="71"/>
        <v>429</v>
      </c>
      <c r="AM209" s="115">
        <f t="shared" si="72"/>
        <v>43329000</v>
      </c>
      <c r="AN209" s="20"/>
      <c r="AP209" t="s">
        <v>25</v>
      </c>
      <c r="AT209" s="94" t="s">
        <v>25</v>
      </c>
    </row>
    <row r="210" spans="7:46">
      <c r="G210" s="207" t="s">
        <v>5569</v>
      </c>
      <c r="H210" s="111">
        <v>920308.446</v>
      </c>
      <c r="P210" s="112"/>
      <c r="Q210" s="207"/>
      <c r="R210" s="71" t="s">
        <v>180</v>
      </c>
      <c r="S210" s="207" t="s">
        <v>267</v>
      </c>
      <c r="T210" s="207" t="s">
        <v>4627</v>
      </c>
      <c r="U210" s="207">
        <v>36797</v>
      </c>
      <c r="V210" s="111">
        <v>239.0822</v>
      </c>
      <c r="W210" s="111">
        <f t="shared" si="66"/>
        <v>8797507.7134000007</v>
      </c>
      <c r="X210" s="97" t="s">
        <v>744</v>
      </c>
      <c r="AH210" s="97">
        <v>190</v>
      </c>
      <c r="AI210" s="111" t="s">
        <v>5214</v>
      </c>
      <c r="AJ210" s="111">
        <v>-488602</v>
      </c>
      <c r="AK210" s="97">
        <v>5</v>
      </c>
      <c r="AL210" s="20">
        <f t="shared" si="71"/>
        <v>395</v>
      </c>
      <c r="AM210" s="115">
        <f t="shared" si="72"/>
        <v>-192997790</v>
      </c>
      <c r="AN210" s="20"/>
      <c r="AR210" t="s">
        <v>25</v>
      </c>
    </row>
    <row r="211" spans="7:46">
      <c r="G211" s="207" t="s">
        <v>5570</v>
      </c>
      <c r="H211" s="111">
        <v>4635809.8416840006</v>
      </c>
      <c r="Q211" s="207"/>
      <c r="R211" s="207" t="s">
        <v>4402</v>
      </c>
      <c r="S211" s="111">
        <v>3000000</v>
      </c>
      <c r="T211" s="207" t="s">
        <v>4627</v>
      </c>
      <c r="U211" s="207">
        <v>36797</v>
      </c>
      <c r="V211" s="111">
        <v>239.0822</v>
      </c>
      <c r="W211" s="111">
        <f t="shared" si="66"/>
        <v>8797507.7134000007</v>
      </c>
      <c r="X211" s="97" t="s">
        <v>452</v>
      </c>
      <c r="Z211" t="s">
        <v>25</v>
      </c>
      <c r="AH211" s="97">
        <v>191</v>
      </c>
      <c r="AI211" s="111" t="s">
        <v>5228</v>
      </c>
      <c r="AJ211" s="111">
        <v>360000</v>
      </c>
      <c r="AK211" s="97">
        <v>10</v>
      </c>
      <c r="AL211" s="20">
        <f t="shared" si="71"/>
        <v>390</v>
      </c>
      <c r="AM211" s="115">
        <f t="shared" si="72"/>
        <v>140400000</v>
      </c>
      <c r="AN211" s="20"/>
      <c r="AR211" t="s">
        <v>25</v>
      </c>
    </row>
    <row r="212" spans="7:46">
      <c r="G212" s="207" t="s">
        <v>5600</v>
      </c>
      <c r="H212" s="111">
        <v>58508002.009000003</v>
      </c>
      <c r="J212" t="s">
        <v>25</v>
      </c>
      <c r="K212" t="s">
        <v>25</v>
      </c>
      <c r="P212" s="112"/>
      <c r="Q212" s="207"/>
      <c r="R212" s="207" t="s">
        <v>4448</v>
      </c>
      <c r="S212" s="111">
        <v>2000000</v>
      </c>
      <c r="T212" s="207" t="s">
        <v>4636</v>
      </c>
      <c r="U212" s="207">
        <v>28066</v>
      </c>
      <c r="V212" s="111">
        <v>237.56970000000001</v>
      </c>
      <c r="W212" s="111">
        <f t="shared" si="66"/>
        <v>6667631.2002000008</v>
      </c>
      <c r="X212" s="97" t="s">
        <v>744</v>
      </c>
      <c r="AH212" s="97">
        <v>192</v>
      </c>
      <c r="AI212" s="111" t="s">
        <v>5238</v>
      </c>
      <c r="AJ212" s="111">
        <v>-3600000</v>
      </c>
      <c r="AK212" s="97">
        <v>4</v>
      </c>
      <c r="AL212" s="20">
        <f t="shared" si="71"/>
        <v>380</v>
      </c>
      <c r="AM212" s="115">
        <f t="shared" si="72"/>
        <v>-1368000000</v>
      </c>
      <c r="AN212" s="20"/>
      <c r="AS212" t="s">
        <v>25</v>
      </c>
    </row>
    <row r="213" spans="7:46">
      <c r="G213" s="207" t="s">
        <v>5602</v>
      </c>
      <c r="H213" s="111">
        <v>2245515.5410799999</v>
      </c>
      <c r="J213" t="s">
        <v>25</v>
      </c>
      <c r="P213" s="112"/>
      <c r="Q213" s="207"/>
      <c r="R213" s="207" t="s">
        <v>4456</v>
      </c>
      <c r="S213" s="111">
        <v>1000000</v>
      </c>
      <c r="T213" s="207" t="s">
        <v>4636</v>
      </c>
      <c r="U213" s="207">
        <v>28066</v>
      </c>
      <c r="V213" s="111">
        <v>237.56970000000001</v>
      </c>
      <c r="W213" s="111">
        <f t="shared" si="66"/>
        <v>6667631.2002000008</v>
      </c>
      <c r="X213" s="97" t="s">
        <v>452</v>
      </c>
      <c r="Y213" t="s">
        <v>25</v>
      </c>
      <c r="AH213" s="97">
        <v>193</v>
      </c>
      <c r="AI213" s="111" t="s">
        <v>5244</v>
      </c>
      <c r="AJ213" s="111">
        <v>-1000000</v>
      </c>
      <c r="AK213" s="97">
        <v>5</v>
      </c>
      <c r="AL213" s="20">
        <f t="shared" si="71"/>
        <v>376</v>
      </c>
      <c r="AM213" s="115">
        <f t="shared" si="72"/>
        <v>-376000000</v>
      </c>
      <c r="AN213" s="20"/>
      <c r="AR213" t="s">
        <v>25</v>
      </c>
    </row>
    <row r="214" spans="7:46">
      <c r="G214" s="207" t="s">
        <v>5604</v>
      </c>
      <c r="H214" s="111">
        <v>18404699.3442</v>
      </c>
      <c r="Q214" s="207"/>
      <c r="R214" s="207" t="s">
        <v>4460</v>
      </c>
      <c r="S214" s="111">
        <v>2000000</v>
      </c>
      <c r="T214" s="207" t="s">
        <v>3668</v>
      </c>
      <c r="U214" s="207">
        <v>37457</v>
      </c>
      <c r="V214" s="111">
        <v>239.77</v>
      </c>
      <c r="W214" s="111">
        <f t="shared" si="66"/>
        <v>8981064.8900000006</v>
      </c>
      <c r="X214" s="97" t="s">
        <v>744</v>
      </c>
      <c r="AH214" s="97">
        <v>194</v>
      </c>
      <c r="AI214" s="111" t="s">
        <v>5249</v>
      </c>
      <c r="AJ214" s="111">
        <v>360000</v>
      </c>
      <c r="AK214" s="97">
        <v>2</v>
      </c>
      <c r="AL214" s="20">
        <f t="shared" ref="AL214:AL269" si="73">AL215+AK214</f>
        <v>371</v>
      </c>
      <c r="AM214" s="115">
        <f t="shared" ref="AM214:AM269" si="74">AJ214*AL214</f>
        <v>133560000</v>
      </c>
      <c r="AN214" s="20"/>
      <c r="AQ214" t="s">
        <v>25</v>
      </c>
    </row>
    <row r="215" spans="7:46">
      <c r="G215" s="207" t="s">
        <v>5607</v>
      </c>
      <c r="H215" s="111">
        <v>2264658.5922190002</v>
      </c>
      <c r="P215" s="112"/>
      <c r="Q215" s="207"/>
      <c r="R215" s="207" t="s">
        <v>979</v>
      </c>
      <c r="S215" s="111">
        <v>3000000</v>
      </c>
      <c r="T215" s="207" t="s">
        <v>3668</v>
      </c>
      <c r="U215" s="207">
        <v>37457</v>
      </c>
      <c r="V215" s="111">
        <v>239.77</v>
      </c>
      <c r="W215" s="111">
        <f t="shared" si="66"/>
        <v>8981064.8900000006</v>
      </c>
      <c r="X215" s="97" t="s">
        <v>452</v>
      </c>
      <c r="Y215" s="94" t="s">
        <v>25</v>
      </c>
      <c r="AH215" s="97">
        <v>195</v>
      </c>
      <c r="AI215" s="111" t="s">
        <v>5254</v>
      </c>
      <c r="AJ215" s="111">
        <v>2000000</v>
      </c>
      <c r="AK215" s="97">
        <v>1</v>
      </c>
      <c r="AL215" s="20">
        <f t="shared" si="73"/>
        <v>369</v>
      </c>
      <c r="AM215" s="115">
        <f t="shared" si="74"/>
        <v>738000000</v>
      </c>
      <c r="AN215" s="20"/>
    </row>
    <row r="216" spans="7:46">
      <c r="G216" s="207" t="s">
        <v>5609</v>
      </c>
      <c r="H216" s="111">
        <v>22877413.789960001</v>
      </c>
      <c r="Q216" s="207"/>
      <c r="R216" s="207" t="s">
        <v>4587</v>
      </c>
      <c r="S216" s="111">
        <v>3000000</v>
      </c>
      <c r="T216" s="207" t="s">
        <v>4648</v>
      </c>
      <c r="U216" s="207">
        <v>38412</v>
      </c>
      <c r="V216" s="111">
        <v>239.03</v>
      </c>
      <c r="W216" s="111">
        <f t="shared" si="66"/>
        <v>9181620.3599999994</v>
      </c>
      <c r="X216" s="97" t="s">
        <v>744</v>
      </c>
      <c r="Y216" t="s">
        <v>25</v>
      </c>
      <c r="AH216" s="97">
        <v>196</v>
      </c>
      <c r="AI216" s="111" t="s">
        <v>5256</v>
      </c>
      <c r="AJ216" s="111">
        <v>20000000</v>
      </c>
      <c r="AK216" s="97">
        <v>0</v>
      </c>
      <c r="AL216" s="20">
        <f t="shared" si="73"/>
        <v>368</v>
      </c>
      <c r="AM216" s="115">
        <f t="shared" si="74"/>
        <v>7360000000</v>
      </c>
      <c r="AN216" s="20" t="s">
        <v>4678</v>
      </c>
      <c r="AR216" t="s">
        <v>25</v>
      </c>
    </row>
    <row r="217" spans="7:46">
      <c r="G217" s="207" t="s">
        <v>5612</v>
      </c>
      <c r="H217" s="111">
        <v>2362539.4373280001</v>
      </c>
      <c r="Q217" s="207" t="s">
        <v>4754</v>
      </c>
      <c r="R217" s="207" t="s">
        <v>4749</v>
      </c>
      <c r="S217" s="111">
        <v>-800000</v>
      </c>
      <c r="T217" s="207" t="s">
        <v>4648</v>
      </c>
      <c r="U217" s="207">
        <v>38412</v>
      </c>
      <c r="V217" s="111">
        <v>239.03</v>
      </c>
      <c r="W217" s="111">
        <f t="shared" si="66"/>
        <v>9181620.3599999994</v>
      </c>
      <c r="X217" s="97" t="s">
        <v>452</v>
      </c>
      <c r="AH217" s="97">
        <v>197</v>
      </c>
      <c r="AI217" s="111" t="s">
        <v>5256</v>
      </c>
      <c r="AJ217" s="111">
        <v>-4700000</v>
      </c>
      <c r="AK217" s="97">
        <v>1</v>
      </c>
      <c r="AL217" s="20">
        <f t="shared" si="73"/>
        <v>368</v>
      </c>
      <c r="AM217" s="115">
        <f t="shared" si="74"/>
        <v>-1729600000</v>
      </c>
      <c r="AN217" s="20"/>
    </row>
    <row r="218" spans="7:46">
      <c r="G218" s="207" t="s">
        <v>5613</v>
      </c>
      <c r="H218" s="111">
        <v>16042676.656608</v>
      </c>
      <c r="Q218" s="207" t="s">
        <v>4755</v>
      </c>
      <c r="R218" s="207" t="s">
        <v>4749</v>
      </c>
      <c r="S218" s="111">
        <v>-900000</v>
      </c>
      <c r="T218" s="207" t="s">
        <v>4651</v>
      </c>
      <c r="U218" s="207">
        <v>49555</v>
      </c>
      <c r="V218" s="111">
        <v>238.345</v>
      </c>
      <c r="W218" s="111">
        <f t="shared" si="66"/>
        <v>11811186.475</v>
      </c>
      <c r="X218" s="97" t="s">
        <v>744</v>
      </c>
      <c r="AH218" s="97">
        <v>198</v>
      </c>
      <c r="AI218" s="111" t="s">
        <v>5259</v>
      </c>
      <c r="AJ218" s="111">
        <v>3000000</v>
      </c>
      <c r="AK218" s="97">
        <v>4</v>
      </c>
      <c r="AL218" s="20">
        <f t="shared" si="73"/>
        <v>367</v>
      </c>
      <c r="AM218" s="115">
        <f t="shared" si="74"/>
        <v>1101000000</v>
      </c>
      <c r="AN218" s="20"/>
      <c r="AS218" t="s">
        <v>25</v>
      </c>
    </row>
    <row r="219" spans="7:46">
      <c r="G219" s="207" t="s">
        <v>5614</v>
      </c>
      <c r="H219" s="111">
        <v>18403291.448284</v>
      </c>
      <c r="J219" t="s">
        <v>25</v>
      </c>
      <c r="P219" s="112"/>
      <c r="Q219" s="207" t="s">
        <v>4755</v>
      </c>
      <c r="R219" s="207" t="s">
        <v>966</v>
      </c>
      <c r="S219" s="111">
        <v>-1100000</v>
      </c>
      <c r="T219" s="207" t="s">
        <v>4651</v>
      </c>
      <c r="U219" s="207">
        <v>49555</v>
      </c>
      <c r="V219" s="111">
        <v>238.345</v>
      </c>
      <c r="W219" s="111">
        <f t="shared" si="66"/>
        <v>11811186.475</v>
      </c>
      <c r="X219" s="97" t="s">
        <v>452</v>
      </c>
      <c r="AH219" s="97">
        <v>199</v>
      </c>
      <c r="AI219" s="111" t="s">
        <v>5261</v>
      </c>
      <c r="AJ219" s="111">
        <v>1500000</v>
      </c>
      <c r="AK219" s="97">
        <v>1</v>
      </c>
      <c r="AL219" s="20">
        <f t="shared" si="73"/>
        <v>363</v>
      </c>
      <c r="AM219" s="115">
        <f t="shared" si="74"/>
        <v>544500000</v>
      </c>
      <c r="AN219" s="20"/>
    </row>
    <row r="220" spans="7:46">
      <c r="G220" s="207" t="s">
        <v>5617</v>
      </c>
      <c r="H220" s="111">
        <v>10561447.246918</v>
      </c>
      <c r="J220" t="s">
        <v>25</v>
      </c>
      <c r="P220" s="112"/>
      <c r="Q220" s="188" t="s">
        <v>1071</v>
      </c>
      <c r="R220" s="188" t="s">
        <v>4778</v>
      </c>
      <c r="S220" s="193">
        <v>30000000</v>
      </c>
      <c r="T220" s="207" t="s">
        <v>4664</v>
      </c>
      <c r="U220" s="207">
        <v>160187</v>
      </c>
      <c r="V220" s="111">
        <v>257.49799999999999</v>
      </c>
      <c r="W220" s="111">
        <f t="shared" si="66"/>
        <v>41247832.126000002</v>
      </c>
      <c r="X220" s="97" t="s">
        <v>744</v>
      </c>
      <c r="Y220" t="s">
        <v>25</v>
      </c>
      <c r="AA220" t="s">
        <v>25</v>
      </c>
      <c r="AH220" s="97">
        <v>200</v>
      </c>
      <c r="AI220" s="111" t="s">
        <v>5263</v>
      </c>
      <c r="AJ220" s="111">
        <v>30000000</v>
      </c>
      <c r="AK220" s="97">
        <v>33</v>
      </c>
      <c r="AL220" s="20">
        <f t="shared" si="73"/>
        <v>362</v>
      </c>
      <c r="AM220" s="115">
        <f t="shared" si="74"/>
        <v>10860000000</v>
      </c>
      <c r="AN220" s="20"/>
    </row>
    <row r="221" spans="7:46">
      <c r="G221" s="207" t="s">
        <v>5618</v>
      </c>
      <c r="H221" s="111">
        <v>1226811.9176660001</v>
      </c>
      <c r="P221" s="112"/>
      <c r="Q221" s="19" t="s">
        <v>4858</v>
      </c>
      <c r="R221" s="19" t="s">
        <v>4856</v>
      </c>
      <c r="S221" s="115">
        <v>2000000</v>
      </c>
      <c r="T221" s="207" t="s">
        <v>4664</v>
      </c>
      <c r="U221" s="207">
        <v>160187</v>
      </c>
      <c r="V221" s="111">
        <v>257.49799999999999</v>
      </c>
      <c r="W221" s="111">
        <f t="shared" si="66"/>
        <v>41247832.126000002</v>
      </c>
      <c r="X221" s="97" t="s">
        <v>452</v>
      </c>
      <c r="AH221" s="97">
        <v>201</v>
      </c>
      <c r="AI221" s="111" t="s">
        <v>5338</v>
      </c>
      <c r="AJ221" s="111">
        <v>3000000</v>
      </c>
      <c r="AK221" s="97">
        <v>1</v>
      </c>
      <c r="AL221" s="20">
        <f t="shared" si="73"/>
        <v>329</v>
      </c>
      <c r="AM221" s="115">
        <f t="shared" si="74"/>
        <v>987000000</v>
      </c>
      <c r="AN221" s="20"/>
    </row>
    <row r="222" spans="7:46">
      <c r="G222" s="207" t="s">
        <v>5619</v>
      </c>
      <c r="H222" s="111">
        <v>39373959.190266006</v>
      </c>
      <c r="P222" s="112"/>
      <c r="Q222" s="187" t="s">
        <v>4879</v>
      </c>
      <c r="R222" s="187" t="s">
        <v>4878</v>
      </c>
      <c r="S222" s="186">
        <v>480105</v>
      </c>
      <c r="T222" s="207" t="s">
        <v>4671</v>
      </c>
      <c r="U222" s="207">
        <v>144401</v>
      </c>
      <c r="V222" s="111">
        <v>258.5061</v>
      </c>
      <c r="W222" s="111">
        <f t="shared" si="66"/>
        <v>37328539.346100003</v>
      </c>
      <c r="X222" s="97" t="s">
        <v>744</v>
      </c>
      <c r="Z222" t="s">
        <v>25</v>
      </c>
      <c r="AH222" s="97">
        <v>202</v>
      </c>
      <c r="AI222" s="111" t="s">
        <v>5339</v>
      </c>
      <c r="AJ222" s="111">
        <v>7000000</v>
      </c>
      <c r="AK222" s="97">
        <v>4</v>
      </c>
      <c r="AL222" s="20">
        <f t="shared" si="73"/>
        <v>328</v>
      </c>
      <c r="AM222" s="115">
        <f t="shared" si="74"/>
        <v>2296000000</v>
      </c>
      <c r="AN222" s="20"/>
    </row>
    <row r="223" spans="7:46">
      <c r="G223" s="207" t="s">
        <v>5624</v>
      </c>
      <c r="H223" s="111">
        <v>27703487.063980002</v>
      </c>
      <c r="J223" t="s">
        <v>25</v>
      </c>
      <c r="P223" s="112"/>
      <c r="Q223" s="187"/>
      <c r="R223" s="187" t="s">
        <v>4919</v>
      </c>
      <c r="S223" s="186">
        <v>30500000</v>
      </c>
      <c r="T223" s="207" t="s">
        <v>4671</v>
      </c>
      <c r="U223" s="207">
        <v>144401</v>
      </c>
      <c r="V223" s="111">
        <v>258.5061</v>
      </c>
      <c r="W223" s="111">
        <f t="shared" si="66"/>
        <v>37328539.346100003</v>
      </c>
      <c r="X223" s="97" t="s">
        <v>452</v>
      </c>
      <c r="AH223" s="97">
        <v>203</v>
      </c>
      <c r="AI223" s="111" t="s">
        <v>5348</v>
      </c>
      <c r="AJ223" s="111">
        <v>8800000</v>
      </c>
      <c r="AK223" s="97">
        <v>2</v>
      </c>
      <c r="AL223" s="20">
        <f t="shared" si="73"/>
        <v>324</v>
      </c>
      <c r="AM223" s="115">
        <f t="shared" si="74"/>
        <v>2851200000</v>
      </c>
      <c r="AN223" s="20"/>
    </row>
    <row r="224" spans="7:46" ht="28.5" customHeight="1">
      <c r="G224" s="207" t="s">
        <v>5625</v>
      </c>
      <c r="H224" s="111">
        <v>8738896.6890719999</v>
      </c>
      <c r="P224" s="112"/>
      <c r="Q224" s="19" t="s">
        <v>4949</v>
      </c>
      <c r="R224" s="19" t="s">
        <v>4944</v>
      </c>
      <c r="S224" s="115">
        <v>-400000</v>
      </c>
      <c r="T224" s="166" t="s">
        <v>4677</v>
      </c>
      <c r="U224" s="166">
        <v>196500</v>
      </c>
      <c r="V224" s="111">
        <v>254.452</v>
      </c>
      <c r="W224" s="111">
        <f t="shared" si="66"/>
        <v>49999818</v>
      </c>
      <c r="X224" s="97" t="s">
        <v>4680</v>
      </c>
      <c r="Y224" t="s">
        <v>25</v>
      </c>
      <c r="AH224" s="97">
        <v>204</v>
      </c>
      <c r="AI224" s="111" t="s">
        <v>5353</v>
      </c>
      <c r="AJ224" s="111">
        <v>40000000</v>
      </c>
      <c r="AK224" s="97">
        <v>8</v>
      </c>
      <c r="AL224" s="20">
        <f t="shared" si="73"/>
        <v>322</v>
      </c>
      <c r="AM224" s="115">
        <f t="shared" si="74"/>
        <v>12880000000</v>
      </c>
      <c r="AN224" s="20" t="s">
        <v>4678</v>
      </c>
    </row>
    <row r="225" spans="4:45">
      <c r="G225" s="207" t="s">
        <v>4185</v>
      </c>
      <c r="H225" s="111">
        <v>348201.66738</v>
      </c>
      <c r="J225" t="s">
        <v>25</v>
      </c>
      <c r="P225" s="112"/>
      <c r="Q225" s="187" t="s">
        <v>5058</v>
      </c>
      <c r="R225" s="187" t="s">
        <v>4979</v>
      </c>
      <c r="S225" s="186">
        <v>-349550</v>
      </c>
      <c r="T225" s="207" t="s">
        <v>4677</v>
      </c>
      <c r="U225" s="207">
        <v>2561</v>
      </c>
      <c r="V225" s="111">
        <v>254.536</v>
      </c>
      <c r="W225" s="111">
        <f t="shared" si="66"/>
        <v>651866.696</v>
      </c>
      <c r="X225" s="97" t="s">
        <v>4681</v>
      </c>
      <c r="AA225" t="s">
        <v>25</v>
      </c>
      <c r="AH225" s="97">
        <v>205</v>
      </c>
      <c r="AI225" s="111" t="s">
        <v>5368</v>
      </c>
      <c r="AJ225" s="111">
        <v>400000</v>
      </c>
      <c r="AK225" s="97">
        <v>17</v>
      </c>
      <c r="AL225" s="20">
        <f t="shared" si="73"/>
        <v>314</v>
      </c>
      <c r="AM225" s="115">
        <f t="shared" si="74"/>
        <v>125600000</v>
      </c>
      <c r="AN225" s="20"/>
      <c r="AR225" t="s">
        <v>25</v>
      </c>
    </row>
    <row r="226" spans="4:45">
      <c r="G226" s="207" t="s">
        <v>5627</v>
      </c>
      <c r="H226" s="111">
        <v>4158090.8935679998</v>
      </c>
      <c r="J226" t="s">
        <v>25</v>
      </c>
      <c r="P226" s="112"/>
      <c r="Q226" s="19" t="s">
        <v>4949</v>
      </c>
      <c r="R226" s="19" t="s">
        <v>5119</v>
      </c>
      <c r="S226" s="115">
        <v>-200000</v>
      </c>
      <c r="T226" s="207" t="s">
        <v>4721</v>
      </c>
      <c r="U226" s="207">
        <v>-11795</v>
      </c>
      <c r="V226" s="111">
        <v>254.334</v>
      </c>
      <c r="W226" s="111">
        <f t="shared" si="66"/>
        <v>-2999869.5300000003</v>
      </c>
      <c r="X226" s="97" t="s">
        <v>4722</v>
      </c>
      <c r="AH226" s="97">
        <v>206</v>
      </c>
      <c r="AI226" s="111" t="s">
        <v>5388</v>
      </c>
      <c r="AJ226" s="111">
        <v>-20000000</v>
      </c>
      <c r="AK226" s="97">
        <v>18</v>
      </c>
      <c r="AL226" s="20">
        <f t="shared" si="73"/>
        <v>297</v>
      </c>
      <c r="AM226" s="115">
        <f t="shared" si="74"/>
        <v>-5940000000</v>
      </c>
      <c r="AN226" s="20" t="s">
        <v>4974</v>
      </c>
    </row>
    <row r="227" spans="4:45">
      <c r="D227" s="94"/>
      <c r="E227" s="94"/>
      <c r="F227" s="94"/>
      <c r="G227" s="207" t="s">
        <v>5631</v>
      </c>
      <c r="H227" s="111">
        <v>110770524.97879399</v>
      </c>
      <c r="P227" s="112"/>
      <c r="Q227" s="19" t="s">
        <v>4949</v>
      </c>
      <c r="R227" s="19" t="s">
        <v>5151</v>
      </c>
      <c r="S227" s="115">
        <v>-122000</v>
      </c>
      <c r="T227" s="207" t="s">
        <v>4721</v>
      </c>
      <c r="U227" s="207">
        <v>11795</v>
      </c>
      <c r="V227" s="111">
        <v>254.334</v>
      </c>
      <c r="W227" s="111">
        <f t="shared" si="66"/>
        <v>2999869.5300000003</v>
      </c>
      <c r="X227" s="97" t="s">
        <v>4723</v>
      </c>
      <c r="AH227" s="97">
        <v>207</v>
      </c>
      <c r="AI227" s="111" t="s">
        <v>5402</v>
      </c>
      <c r="AJ227" s="111">
        <v>3006000</v>
      </c>
      <c r="AK227" s="97">
        <v>19</v>
      </c>
      <c r="AL227" s="20">
        <f t="shared" si="73"/>
        <v>279</v>
      </c>
      <c r="AM227" s="115">
        <f t="shared" si="74"/>
        <v>838674000</v>
      </c>
      <c r="AN227" s="20"/>
    </row>
    <row r="228" spans="4:45">
      <c r="D228" s="94"/>
      <c r="E228" s="94"/>
      <c r="F228" s="94"/>
      <c r="G228" s="207" t="s">
        <v>5643</v>
      </c>
      <c r="H228" s="111">
        <v>6684147.0064600008</v>
      </c>
      <c r="Q228" s="19" t="s">
        <v>4949</v>
      </c>
      <c r="R228" s="19" t="s">
        <v>5159</v>
      </c>
      <c r="S228" s="115">
        <v>-700000</v>
      </c>
      <c r="T228" s="207" t="s">
        <v>4735</v>
      </c>
      <c r="U228" s="207">
        <v>260</v>
      </c>
      <c r="V228" s="111">
        <v>263.19</v>
      </c>
      <c r="W228" s="111">
        <f t="shared" si="66"/>
        <v>68429.399999999994</v>
      </c>
      <c r="X228" s="97" t="s">
        <v>452</v>
      </c>
      <c r="AH228" s="97">
        <v>208</v>
      </c>
      <c r="AI228" s="111" t="s">
        <v>5300</v>
      </c>
      <c r="AJ228" s="111">
        <v>-130382924</v>
      </c>
      <c r="AK228" s="97">
        <v>0</v>
      </c>
      <c r="AL228" s="20">
        <f t="shared" si="73"/>
        <v>260</v>
      </c>
      <c r="AM228" s="115">
        <f t="shared" si="74"/>
        <v>-33899560240</v>
      </c>
      <c r="AN228" s="20" t="s">
        <v>5426</v>
      </c>
      <c r="AR228" t="s">
        <v>25</v>
      </c>
    </row>
    <row r="229" spans="4:45">
      <c r="D229" s="94"/>
      <c r="E229" s="94"/>
      <c r="F229" s="94"/>
      <c r="G229" s="207" t="s">
        <v>5646</v>
      </c>
      <c r="H229" s="111">
        <v>1826535.2307560001</v>
      </c>
      <c r="K229" t="s">
        <v>25</v>
      </c>
      <c r="Q229" s="19" t="s">
        <v>4949</v>
      </c>
      <c r="R229" s="19" t="s">
        <v>5169</v>
      </c>
      <c r="S229" s="115">
        <v>-60000</v>
      </c>
      <c r="T229" s="207" t="s">
        <v>4744</v>
      </c>
      <c r="U229" s="207">
        <v>15257</v>
      </c>
      <c r="V229" s="111">
        <v>262.19018</v>
      </c>
      <c r="W229" s="111">
        <f t="shared" si="66"/>
        <v>4000235.57626</v>
      </c>
      <c r="X229" s="97" t="s">
        <v>452</v>
      </c>
      <c r="AH229" s="97">
        <v>209</v>
      </c>
      <c r="AI229" s="111" t="s">
        <v>5300</v>
      </c>
      <c r="AJ229" s="111">
        <v>125000000</v>
      </c>
      <c r="AK229" s="97">
        <v>1</v>
      </c>
      <c r="AL229" s="20">
        <f t="shared" si="73"/>
        <v>260</v>
      </c>
      <c r="AM229" s="115">
        <f t="shared" si="74"/>
        <v>32500000000</v>
      </c>
      <c r="AN229" s="20"/>
      <c r="AR229" t="s">
        <v>25</v>
      </c>
    </row>
    <row r="230" spans="4:45">
      <c r="D230" s="94"/>
      <c r="E230" s="94"/>
      <c r="F230" s="94"/>
      <c r="G230" s="207" t="s">
        <v>5650</v>
      </c>
      <c r="H230" s="111">
        <v>3577366.94</v>
      </c>
      <c r="P230" s="112"/>
      <c r="Q230" s="19" t="s">
        <v>4409</v>
      </c>
      <c r="R230" s="19" t="s">
        <v>5228</v>
      </c>
      <c r="S230" s="115">
        <v>700000</v>
      </c>
      <c r="T230" s="207" t="s">
        <v>4744</v>
      </c>
      <c r="U230" s="207">
        <v>8444</v>
      </c>
      <c r="V230" s="111">
        <v>266.43029999999999</v>
      </c>
      <c r="W230" s="111">
        <f t="shared" si="66"/>
        <v>2249737.4531999999</v>
      </c>
      <c r="X230" s="97" t="s">
        <v>452</v>
      </c>
      <c r="AH230" s="97">
        <v>210</v>
      </c>
      <c r="AI230" s="111" t="s">
        <v>5425</v>
      </c>
      <c r="AJ230" s="111">
        <v>7200000</v>
      </c>
      <c r="AK230" s="97">
        <v>15</v>
      </c>
      <c r="AL230" s="20">
        <f t="shared" si="73"/>
        <v>259</v>
      </c>
      <c r="AM230" s="115">
        <f t="shared" si="74"/>
        <v>1864800000</v>
      </c>
      <c r="AN230" s="20"/>
      <c r="AQ230" t="s">
        <v>25</v>
      </c>
      <c r="AS230" t="s">
        <v>25</v>
      </c>
    </row>
    <row r="231" spans="4:45">
      <c r="D231" s="94"/>
      <c r="E231" s="94"/>
      <c r="F231" s="94"/>
      <c r="G231" s="207" t="s">
        <v>5652</v>
      </c>
      <c r="H231" s="111">
        <v>21239029.173567999</v>
      </c>
      <c r="J231" t="s">
        <v>25</v>
      </c>
      <c r="P231" s="112"/>
      <c r="Q231" s="187" t="s">
        <v>1071</v>
      </c>
      <c r="R231" s="187" t="s">
        <v>5247</v>
      </c>
      <c r="S231" s="186">
        <v>40000000</v>
      </c>
      <c r="T231" s="207" t="s">
        <v>4749</v>
      </c>
      <c r="U231" s="207">
        <v>-6209</v>
      </c>
      <c r="V231" s="111">
        <v>273.79649999999998</v>
      </c>
      <c r="W231" s="111">
        <f t="shared" si="66"/>
        <v>-1700002.4685</v>
      </c>
      <c r="X231" s="97" t="s">
        <v>4760</v>
      </c>
      <c r="AH231" s="97">
        <v>211</v>
      </c>
      <c r="AI231" s="111" t="s">
        <v>5445</v>
      </c>
      <c r="AJ231" s="111">
        <v>2050000</v>
      </c>
      <c r="AK231" s="97">
        <v>7</v>
      </c>
      <c r="AL231" s="20">
        <f t="shared" si="73"/>
        <v>244</v>
      </c>
      <c r="AM231" s="115">
        <f t="shared" si="74"/>
        <v>500200000</v>
      </c>
      <c r="AN231" s="20"/>
      <c r="AR231" t="s">
        <v>25</v>
      </c>
      <c r="AS231" t="s">
        <v>25</v>
      </c>
    </row>
    <row r="232" spans="4:45">
      <c r="D232" s="94"/>
      <c r="E232" s="94"/>
      <c r="F232" s="94"/>
      <c r="G232" s="207" t="s">
        <v>5656</v>
      </c>
      <c r="H232" s="111">
        <v>242957252.40163299</v>
      </c>
      <c r="Q232" s="19" t="s">
        <v>4409</v>
      </c>
      <c r="R232" s="19" t="s">
        <v>5251</v>
      </c>
      <c r="S232" s="115">
        <v>-800000</v>
      </c>
      <c r="T232" s="207" t="s">
        <v>4749</v>
      </c>
      <c r="U232" s="207">
        <v>-8014</v>
      </c>
      <c r="V232" s="111">
        <v>273.79649999999998</v>
      </c>
      <c r="W232" s="111">
        <f t="shared" si="66"/>
        <v>-2194205.1510000001</v>
      </c>
      <c r="X232" s="97" t="s">
        <v>744</v>
      </c>
      <c r="AH232" s="97">
        <v>212</v>
      </c>
      <c r="AI232" s="111" t="s">
        <v>5466</v>
      </c>
      <c r="AJ232" s="111">
        <v>50000000</v>
      </c>
      <c r="AK232" s="97">
        <v>24</v>
      </c>
      <c r="AL232" s="20">
        <f t="shared" si="73"/>
        <v>237</v>
      </c>
      <c r="AM232" s="115">
        <f t="shared" si="74"/>
        <v>11850000000</v>
      </c>
      <c r="AN232" s="20" t="s">
        <v>4678</v>
      </c>
    </row>
    <row r="233" spans="4:45">
      <c r="D233" s="94"/>
      <c r="E233" s="94"/>
      <c r="F233" s="94"/>
      <c r="G233" s="207" t="s">
        <v>5660</v>
      </c>
      <c r="H233" s="111">
        <v>7357181.2750800001</v>
      </c>
      <c r="J233" t="s">
        <v>25</v>
      </c>
      <c r="Q233" s="207" t="s">
        <v>4409</v>
      </c>
      <c r="R233" s="207" t="s">
        <v>5334</v>
      </c>
      <c r="S233" s="115">
        <v>700000</v>
      </c>
      <c r="T233" s="207" t="s">
        <v>4758</v>
      </c>
      <c r="U233" s="207">
        <v>-9176</v>
      </c>
      <c r="V233" s="111">
        <v>273.79649999999998</v>
      </c>
      <c r="W233" s="111">
        <f t="shared" si="66"/>
        <v>-2512356.6839999999</v>
      </c>
      <c r="X233" s="97" t="s">
        <v>452</v>
      </c>
      <c r="AH233" s="97">
        <v>213</v>
      </c>
      <c r="AI233" s="111" t="s">
        <v>5504</v>
      </c>
      <c r="AJ233" s="111">
        <v>-58196600</v>
      </c>
      <c r="AK233" s="97">
        <v>22</v>
      </c>
      <c r="AL233" s="20">
        <f t="shared" si="73"/>
        <v>213</v>
      </c>
      <c r="AM233" s="115">
        <f t="shared" si="74"/>
        <v>-12395875800</v>
      </c>
      <c r="AN233" s="20" t="s">
        <v>4865</v>
      </c>
    </row>
    <row r="234" spans="4:45">
      <c r="G234" s="207" t="s">
        <v>5662</v>
      </c>
      <c r="H234" s="111">
        <v>14951411.942400001</v>
      </c>
      <c r="Q234" s="187" t="s">
        <v>5351</v>
      </c>
      <c r="R234" s="187" t="s">
        <v>5349</v>
      </c>
      <c r="S234" s="186">
        <v>-26000000</v>
      </c>
      <c r="T234" s="207" t="s">
        <v>4758</v>
      </c>
      <c r="U234" s="207">
        <v>1087</v>
      </c>
      <c r="V234" s="111">
        <v>273.79649999999998</v>
      </c>
      <c r="W234" s="111">
        <f t="shared" si="66"/>
        <v>297616.79550000001</v>
      </c>
      <c r="X234" s="97" t="s">
        <v>452</v>
      </c>
      <c r="AH234" s="97">
        <v>214</v>
      </c>
      <c r="AI234" s="111" t="s">
        <v>5546</v>
      </c>
      <c r="AJ234" s="111">
        <v>25000</v>
      </c>
      <c r="AK234" s="97">
        <v>8</v>
      </c>
      <c r="AL234" s="20">
        <f t="shared" si="73"/>
        <v>191</v>
      </c>
      <c r="AM234" s="115">
        <f t="shared" si="74"/>
        <v>4775000</v>
      </c>
      <c r="AN234" s="20"/>
    </row>
    <row r="235" spans="4:45">
      <c r="G235" s="207" t="s">
        <v>5666</v>
      </c>
      <c r="H235" s="111">
        <v>47928209.377011999</v>
      </c>
      <c r="Q235" s="187" t="s">
        <v>5351</v>
      </c>
      <c r="R235" s="187" t="s">
        <v>5353</v>
      </c>
      <c r="S235" s="186">
        <v>-95900000</v>
      </c>
      <c r="T235" s="207" t="s">
        <v>966</v>
      </c>
      <c r="U235" s="207">
        <v>-4017</v>
      </c>
      <c r="V235" s="111">
        <v>273.79649999999998</v>
      </c>
      <c r="W235" s="111">
        <f t="shared" si="66"/>
        <v>-1099840.5404999999</v>
      </c>
      <c r="X235" s="97" t="s">
        <v>4409</v>
      </c>
      <c r="AH235" s="97">
        <v>215</v>
      </c>
      <c r="AI235" s="111" t="s">
        <v>5567</v>
      </c>
      <c r="AJ235" s="111">
        <v>70000</v>
      </c>
      <c r="AK235" s="97">
        <v>6</v>
      </c>
      <c r="AL235" s="20">
        <f t="shared" si="73"/>
        <v>183</v>
      </c>
      <c r="AM235" s="115">
        <f t="shared" si="74"/>
        <v>12810000</v>
      </c>
      <c r="AN235" s="20"/>
    </row>
    <row r="236" spans="4:45">
      <c r="G236" s="207" t="s">
        <v>5668</v>
      </c>
      <c r="H236" s="111">
        <v>2281595.69937</v>
      </c>
      <c r="J236" t="s">
        <v>25</v>
      </c>
      <c r="Q236" s="187" t="s">
        <v>5351</v>
      </c>
      <c r="R236" s="187" t="s">
        <v>5354</v>
      </c>
      <c r="S236" s="186">
        <v>-28950000</v>
      </c>
      <c r="T236" s="207" t="s">
        <v>966</v>
      </c>
      <c r="U236" s="207">
        <v>4017</v>
      </c>
      <c r="V236" s="111">
        <v>273.79649999999998</v>
      </c>
      <c r="W236" s="111">
        <f t="shared" si="66"/>
        <v>1099840.5404999999</v>
      </c>
      <c r="X236" s="97" t="s">
        <v>452</v>
      </c>
      <c r="AH236" s="97">
        <v>216</v>
      </c>
      <c r="AI236" s="111" t="s">
        <v>5572</v>
      </c>
      <c r="AJ236" s="111">
        <v>70000</v>
      </c>
      <c r="AK236" s="97">
        <v>1</v>
      </c>
      <c r="AL236" s="20">
        <f t="shared" si="73"/>
        <v>177</v>
      </c>
      <c r="AM236" s="115">
        <f t="shared" si="74"/>
        <v>12390000</v>
      </c>
      <c r="AN236" s="20"/>
      <c r="AR236" t="s">
        <v>25</v>
      </c>
    </row>
    <row r="237" spans="4:45">
      <c r="G237" s="207" t="s">
        <v>5670</v>
      </c>
      <c r="H237" s="111">
        <v>2964916.035069</v>
      </c>
      <c r="Q237" s="187" t="s">
        <v>5370</v>
      </c>
      <c r="R237" s="187" t="s">
        <v>5368</v>
      </c>
      <c r="S237" s="186">
        <v>1896188</v>
      </c>
      <c r="T237" s="207" t="s">
        <v>4765</v>
      </c>
      <c r="U237" s="207">
        <v>3137</v>
      </c>
      <c r="V237" s="111">
        <v>283.69110000000001</v>
      </c>
      <c r="W237" s="111">
        <f t="shared" si="66"/>
        <v>889938.98070000007</v>
      </c>
      <c r="X237" s="97" t="s">
        <v>452</v>
      </c>
      <c r="Y237" t="s">
        <v>25</v>
      </c>
      <c r="AH237" s="97">
        <v>217</v>
      </c>
      <c r="AI237" s="111" t="s">
        <v>5561</v>
      </c>
      <c r="AJ237" s="111">
        <v>150000</v>
      </c>
      <c r="AK237" s="97">
        <v>0</v>
      </c>
      <c r="AL237" s="20">
        <f t="shared" si="73"/>
        <v>176</v>
      </c>
      <c r="AM237" s="115">
        <f t="shared" si="74"/>
        <v>26400000</v>
      </c>
      <c r="AN237" s="20"/>
      <c r="AQ237" t="s">
        <v>25</v>
      </c>
      <c r="AS237" t="s">
        <v>25</v>
      </c>
    </row>
    <row r="238" spans="4:45">
      <c r="G238" s="207" t="s">
        <v>5671</v>
      </c>
      <c r="H238" s="111">
        <v>6460549.4269619994</v>
      </c>
      <c r="K238" t="s">
        <v>25</v>
      </c>
      <c r="Q238" s="187" t="s">
        <v>5544</v>
      </c>
      <c r="R238" s="187" t="s">
        <v>4212</v>
      </c>
      <c r="S238" s="186">
        <v>13752871.322800001</v>
      </c>
      <c r="T238" s="207" t="s">
        <v>4778</v>
      </c>
      <c r="U238" s="207">
        <v>101933</v>
      </c>
      <c r="V238" s="111">
        <v>294.30973999999998</v>
      </c>
      <c r="W238" s="111">
        <f t="shared" si="66"/>
        <v>29999874.727419998</v>
      </c>
      <c r="X238" s="97" t="s">
        <v>1071</v>
      </c>
      <c r="Y238" t="s">
        <v>25</v>
      </c>
      <c r="AH238" s="97">
        <v>218</v>
      </c>
      <c r="AI238" s="111" t="s">
        <v>5561</v>
      </c>
      <c r="AJ238" s="111">
        <v>-95599450</v>
      </c>
      <c r="AK238" s="97">
        <v>7</v>
      </c>
      <c r="AL238" s="20">
        <f t="shared" si="73"/>
        <v>176</v>
      </c>
      <c r="AM238" s="115">
        <f t="shared" si="74"/>
        <v>-16825503200</v>
      </c>
      <c r="AN238" s="20" t="s">
        <v>5575</v>
      </c>
      <c r="AR238" t="s">
        <v>25</v>
      </c>
    </row>
    <row r="239" spans="4:45">
      <c r="G239" s="207" t="s">
        <v>5673</v>
      </c>
      <c r="H239" s="111">
        <v>5212319.8968359996</v>
      </c>
      <c r="Q239" s="19" t="s">
        <v>5556</v>
      </c>
      <c r="R239" s="19" t="s">
        <v>5553</v>
      </c>
      <c r="S239" s="115">
        <v>3123901.3702000002</v>
      </c>
      <c r="T239" s="207" t="s">
        <v>4785</v>
      </c>
      <c r="U239" s="207">
        <v>3407</v>
      </c>
      <c r="V239" s="111">
        <v>293.43799999999999</v>
      </c>
      <c r="W239" s="111">
        <f t="shared" si="66"/>
        <v>999743.26599999995</v>
      </c>
      <c r="X239" s="97" t="s">
        <v>452</v>
      </c>
      <c r="AH239" s="97">
        <v>219</v>
      </c>
      <c r="AI239" s="111" t="s">
        <v>5583</v>
      </c>
      <c r="AJ239" s="111">
        <v>200000</v>
      </c>
      <c r="AK239" s="97">
        <v>7</v>
      </c>
      <c r="AL239" s="20">
        <f t="shared" si="73"/>
        <v>169</v>
      </c>
      <c r="AM239" s="115">
        <f t="shared" si="74"/>
        <v>33800000</v>
      </c>
      <c r="AN239" s="20"/>
      <c r="AR239" t="s">
        <v>25</v>
      </c>
    </row>
    <row r="240" spans="4:45">
      <c r="G240" s="207" t="s">
        <v>5676</v>
      </c>
      <c r="H240" s="111">
        <v>4524496.4792809999</v>
      </c>
      <c r="Q240" s="187" t="s">
        <v>5933</v>
      </c>
      <c r="R240" s="187" t="s">
        <v>5628</v>
      </c>
      <c r="S240" s="186">
        <v>-322076.40905199997</v>
      </c>
      <c r="T240" s="207" t="s">
        <v>4786</v>
      </c>
      <c r="U240" s="207">
        <v>68796</v>
      </c>
      <c r="V240" s="111">
        <v>293.53250000000003</v>
      </c>
      <c r="W240" s="111">
        <f t="shared" si="66"/>
        <v>20193861.870000001</v>
      </c>
      <c r="X240" s="97" t="s">
        <v>744</v>
      </c>
      <c r="AH240" s="97">
        <v>220</v>
      </c>
      <c r="AI240" s="111" t="s">
        <v>5588</v>
      </c>
      <c r="AJ240" s="111">
        <v>150000</v>
      </c>
      <c r="AK240" s="97">
        <v>5</v>
      </c>
      <c r="AL240" s="20">
        <f t="shared" si="73"/>
        <v>162</v>
      </c>
      <c r="AM240" s="115">
        <f t="shared" si="74"/>
        <v>24300000</v>
      </c>
      <c r="AN240" s="20"/>
    </row>
    <row r="241" spans="7:46">
      <c r="G241" s="207" t="s">
        <v>5678</v>
      </c>
      <c r="H241" s="111">
        <v>22866040.240959998</v>
      </c>
      <c r="Q241" s="19" t="s">
        <v>4949</v>
      </c>
      <c r="R241" s="19" t="s">
        <v>5628</v>
      </c>
      <c r="S241" s="115">
        <v>-1500000</v>
      </c>
      <c r="T241" s="207" t="s">
        <v>4786</v>
      </c>
      <c r="U241" s="207">
        <v>154791</v>
      </c>
      <c r="V241" s="111">
        <v>293.53250000000003</v>
      </c>
      <c r="W241" s="111">
        <f t="shared" si="66"/>
        <v>45436189.207500003</v>
      </c>
      <c r="X241" s="97" t="s">
        <v>452</v>
      </c>
      <c r="AH241" s="97">
        <v>221</v>
      </c>
      <c r="AI241" s="111" t="s">
        <v>5592</v>
      </c>
      <c r="AJ241" s="111">
        <v>310000</v>
      </c>
      <c r="AK241" s="97">
        <v>31</v>
      </c>
      <c r="AL241" s="20">
        <f t="shared" si="73"/>
        <v>157</v>
      </c>
      <c r="AM241" s="115">
        <f t="shared" si="74"/>
        <v>48670000</v>
      </c>
      <c r="AN241" s="20"/>
      <c r="AR241" t="s">
        <v>25</v>
      </c>
    </row>
    <row r="242" spans="7:46">
      <c r="G242" s="207" t="s">
        <v>5680</v>
      </c>
      <c r="H242" s="111">
        <v>15359304.269892</v>
      </c>
      <c r="P242" t="s">
        <v>25</v>
      </c>
      <c r="Q242" s="187" t="s">
        <v>5642</v>
      </c>
      <c r="R242" s="187" t="s">
        <v>5628</v>
      </c>
      <c r="S242" s="186">
        <v>15000000</v>
      </c>
      <c r="T242" s="207" t="s">
        <v>4786</v>
      </c>
      <c r="U242" s="207">
        <v>-11923</v>
      </c>
      <c r="V242" s="111">
        <v>293.53250000000003</v>
      </c>
      <c r="W242" s="111">
        <f t="shared" si="66"/>
        <v>-3499787.9975000005</v>
      </c>
      <c r="X242" s="97" t="s">
        <v>452</v>
      </c>
      <c r="AH242" s="97">
        <v>222</v>
      </c>
      <c r="AI242" s="111" t="s">
        <v>5628</v>
      </c>
      <c r="AJ242" s="111">
        <v>4200000</v>
      </c>
      <c r="AK242" s="97">
        <v>53</v>
      </c>
      <c r="AL242" s="20">
        <f t="shared" si="73"/>
        <v>126</v>
      </c>
      <c r="AM242" s="115">
        <f t="shared" si="74"/>
        <v>529200000</v>
      </c>
      <c r="AN242" s="20"/>
      <c r="AT242" s="94" t="s">
        <v>25</v>
      </c>
    </row>
    <row r="243" spans="7:46">
      <c r="G243" s="207" t="s">
        <v>5682</v>
      </c>
      <c r="H243" s="111">
        <v>2868508.1846330003</v>
      </c>
      <c r="Q243" s="187" t="s">
        <v>5658</v>
      </c>
      <c r="R243" s="187" t="s">
        <v>5652</v>
      </c>
      <c r="S243" s="186">
        <v>-1500000</v>
      </c>
      <c r="T243" s="207" t="s">
        <v>4798</v>
      </c>
      <c r="U243" s="207">
        <v>8424</v>
      </c>
      <c r="V243" s="111">
        <v>299.15170000000001</v>
      </c>
      <c r="W243" s="111">
        <f t="shared" si="66"/>
        <v>2520053.9208</v>
      </c>
      <c r="X243" s="97" t="s">
        <v>452</v>
      </c>
      <c r="AH243" s="97">
        <v>223</v>
      </c>
      <c r="AI243" s="111" t="s">
        <v>5699</v>
      </c>
      <c r="AJ243" s="111">
        <v>260000000</v>
      </c>
      <c r="AK243" s="97">
        <v>22</v>
      </c>
      <c r="AL243" s="20">
        <f t="shared" si="73"/>
        <v>73</v>
      </c>
      <c r="AM243" s="115">
        <f t="shared" si="74"/>
        <v>18980000000</v>
      </c>
      <c r="AN243" s="20" t="s">
        <v>5701</v>
      </c>
    </row>
    <row r="244" spans="7:46">
      <c r="G244" s="207" t="s">
        <v>5683</v>
      </c>
      <c r="H244" s="111">
        <v>17450393.011856001</v>
      </c>
      <c r="Q244" s="187" t="s">
        <v>5744</v>
      </c>
      <c r="R244" s="187" t="s">
        <v>5741</v>
      </c>
      <c r="S244" s="186">
        <v>-70000</v>
      </c>
      <c r="T244" s="207" t="s">
        <v>4833</v>
      </c>
      <c r="U244" s="207">
        <v>15943</v>
      </c>
      <c r="V244" s="111">
        <v>307.34415000000001</v>
      </c>
      <c r="W244" s="111">
        <f t="shared" si="66"/>
        <v>4899987.78345</v>
      </c>
      <c r="X244" s="97" t="s">
        <v>452</v>
      </c>
      <c r="AH244" s="97">
        <v>224</v>
      </c>
      <c r="AI244" s="111" t="s">
        <v>5731</v>
      </c>
      <c r="AJ244" s="111">
        <v>20000</v>
      </c>
      <c r="AK244" s="97">
        <v>7</v>
      </c>
      <c r="AL244" s="20">
        <f t="shared" si="73"/>
        <v>51</v>
      </c>
      <c r="AM244" s="115">
        <f t="shared" si="74"/>
        <v>1020000</v>
      </c>
      <c r="AN244" s="20"/>
      <c r="AP244" t="s">
        <v>25</v>
      </c>
    </row>
    <row r="245" spans="7:46">
      <c r="G245" s="207" t="s">
        <v>5684</v>
      </c>
      <c r="H245" s="111">
        <v>31388943.254850004</v>
      </c>
      <c r="Q245" s="187" t="s">
        <v>5751</v>
      </c>
      <c r="R245" s="187" t="s">
        <v>5748</v>
      </c>
      <c r="S245" s="186">
        <v>1300000</v>
      </c>
      <c r="T245" s="207" t="s">
        <v>4851</v>
      </c>
      <c r="U245" s="207">
        <v>3741</v>
      </c>
      <c r="V245" s="111">
        <v>307.34415000000001</v>
      </c>
      <c r="W245" s="111">
        <f t="shared" si="66"/>
        <v>1149774.4651500001</v>
      </c>
      <c r="X245" s="97" t="s">
        <v>452</v>
      </c>
      <c r="Z245" t="s">
        <v>25</v>
      </c>
      <c r="AH245" s="97">
        <v>225</v>
      </c>
      <c r="AI245" s="111" t="s">
        <v>5741</v>
      </c>
      <c r="AJ245" s="111">
        <v>70000</v>
      </c>
      <c r="AK245" s="97">
        <v>1</v>
      </c>
      <c r="AL245" s="20">
        <f t="shared" si="73"/>
        <v>44</v>
      </c>
      <c r="AM245" s="115">
        <f t="shared" si="74"/>
        <v>3080000</v>
      </c>
      <c r="AN245" s="20"/>
    </row>
    <row r="246" spans="7:46">
      <c r="G246" s="207" t="s">
        <v>5685</v>
      </c>
      <c r="H246" s="111">
        <v>30912095.373174001</v>
      </c>
      <c r="J246" t="s">
        <v>25</v>
      </c>
      <c r="Q246" s="187" t="s">
        <v>60</v>
      </c>
      <c r="R246" s="187" t="s">
        <v>5760</v>
      </c>
      <c r="S246" s="186">
        <v>90000000</v>
      </c>
      <c r="T246" s="207" t="s">
        <v>4856</v>
      </c>
      <c r="U246" s="207">
        <v>-6207</v>
      </c>
      <c r="V246" s="111">
        <v>322.214</v>
      </c>
      <c r="W246" s="111">
        <f t="shared" si="66"/>
        <v>-1999982.298</v>
      </c>
      <c r="X246" s="97" t="s">
        <v>744</v>
      </c>
      <c r="AH246" s="97">
        <v>226</v>
      </c>
      <c r="AI246" s="111" t="s">
        <v>5748</v>
      </c>
      <c r="AJ246" s="111">
        <v>330000</v>
      </c>
      <c r="AK246" s="97">
        <v>1</v>
      </c>
      <c r="AL246" s="20">
        <f t="shared" si="73"/>
        <v>43</v>
      </c>
      <c r="AM246" s="115">
        <f t="shared" si="74"/>
        <v>14190000</v>
      </c>
      <c r="AN246" s="20"/>
    </row>
    <row r="247" spans="7:46">
      <c r="G247" s="207" t="s">
        <v>5687</v>
      </c>
      <c r="H247" s="111">
        <v>19602926.115093999</v>
      </c>
      <c r="J247" t="s">
        <v>25</v>
      </c>
      <c r="Q247" s="187" t="s">
        <v>5861</v>
      </c>
      <c r="R247" s="187" t="s">
        <v>5856</v>
      </c>
      <c r="S247" s="186">
        <v>33832510.64875</v>
      </c>
      <c r="T247" s="207" t="s">
        <v>4856</v>
      </c>
      <c r="U247" s="207">
        <v>6207</v>
      </c>
      <c r="V247" s="111">
        <v>322.214</v>
      </c>
      <c r="W247" s="111">
        <f t="shared" si="66"/>
        <v>1999982.298</v>
      </c>
      <c r="X247" s="97" t="s">
        <v>4409</v>
      </c>
      <c r="AH247" s="97">
        <v>227</v>
      </c>
      <c r="AI247" s="111" t="s">
        <v>5856</v>
      </c>
      <c r="AJ247" s="111">
        <v>33833075</v>
      </c>
      <c r="AK247" s="97">
        <v>18</v>
      </c>
      <c r="AL247" s="20">
        <f t="shared" si="73"/>
        <v>42</v>
      </c>
      <c r="AM247" s="115">
        <f t="shared" si="74"/>
        <v>1420989150</v>
      </c>
      <c r="AN247" s="20" t="s">
        <v>5861</v>
      </c>
    </row>
    <row r="248" spans="7:46">
      <c r="G248" s="207" t="s">
        <v>5691</v>
      </c>
      <c r="H248" s="111">
        <v>34458590.308710001</v>
      </c>
      <c r="P248" t="s">
        <v>25</v>
      </c>
      <c r="Q248" s="187" t="s">
        <v>5895</v>
      </c>
      <c r="R248" s="187" t="s">
        <v>5890</v>
      </c>
      <c r="S248" s="186">
        <v>21634932</v>
      </c>
      <c r="T248" s="207" t="s">
        <v>4805</v>
      </c>
      <c r="U248" s="207">
        <v>776</v>
      </c>
      <c r="V248" s="111">
        <v>322.214</v>
      </c>
      <c r="W248" s="111">
        <f t="shared" si="66"/>
        <v>250038.06400000001</v>
      </c>
      <c r="X248" s="97" t="s">
        <v>452</v>
      </c>
      <c r="AH248" s="97">
        <v>228</v>
      </c>
      <c r="AI248" s="111" t="s">
        <v>5874</v>
      </c>
      <c r="AJ248" s="111">
        <v>150000</v>
      </c>
      <c r="AK248" s="97">
        <v>10</v>
      </c>
      <c r="AL248" s="20">
        <f t="shared" si="73"/>
        <v>24</v>
      </c>
      <c r="AM248" s="115"/>
      <c r="AN248" s="20"/>
    </row>
    <row r="249" spans="7:46">
      <c r="G249" s="207" t="s">
        <v>5693</v>
      </c>
      <c r="H249" s="111">
        <v>21697868.203256</v>
      </c>
      <c r="Q249" s="187" t="s">
        <v>4737</v>
      </c>
      <c r="R249" s="187" t="s">
        <v>5890</v>
      </c>
      <c r="S249" s="186">
        <v>-22520813.151772</v>
      </c>
      <c r="T249" s="207" t="s">
        <v>4878</v>
      </c>
      <c r="U249" s="207">
        <v>1524</v>
      </c>
      <c r="V249" s="111">
        <v>314.95999999999998</v>
      </c>
      <c r="W249" s="111">
        <f t="shared" si="66"/>
        <v>479999.04</v>
      </c>
      <c r="X249" s="97" t="s">
        <v>1071</v>
      </c>
      <c r="AH249" s="97">
        <v>229</v>
      </c>
      <c r="AI249" s="111" t="s">
        <v>5890</v>
      </c>
      <c r="AJ249" s="111">
        <v>-341847876.93843603</v>
      </c>
      <c r="AK249" s="97">
        <v>1</v>
      </c>
      <c r="AL249" s="20">
        <f t="shared" si="73"/>
        <v>14</v>
      </c>
      <c r="AM249" s="115"/>
      <c r="AN249" s="20" t="s">
        <v>4737</v>
      </c>
      <c r="AP249" t="s">
        <v>25</v>
      </c>
    </row>
    <row r="250" spans="7:46" ht="20.25" customHeight="1">
      <c r="G250" s="207" t="s">
        <v>5695</v>
      </c>
      <c r="H250" s="111">
        <v>25340079.252110001</v>
      </c>
      <c r="Q250" s="19" t="s">
        <v>6497</v>
      </c>
      <c r="R250" s="19" t="s">
        <v>6493</v>
      </c>
      <c r="S250" s="115">
        <v>-6000000</v>
      </c>
      <c r="T250" s="207" t="s">
        <v>4885</v>
      </c>
      <c r="U250" s="207">
        <v>4435</v>
      </c>
      <c r="V250" s="111">
        <v>316.4375</v>
      </c>
      <c r="W250" s="111">
        <f t="shared" si="66"/>
        <v>1403400.3125</v>
      </c>
      <c r="X250" s="97" t="s">
        <v>452</v>
      </c>
      <c r="AH250" s="97">
        <v>230</v>
      </c>
      <c r="AI250" s="111" t="s">
        <v>5903</v>
      </c>
      <c r="AJ250" s="111">
        <v>100000000</v>
      </c>
      <c r="AK250" s="97">
        <v>0</v>
      </c>
      <c r="AL250" s="20">
        <f t="shared" si="73"/>
        <v>13</v>
      </c>
      <c r="AM250" s="115"/>
      <c r="AN250" s="20" t="s">
        <v>5904</v>
      </c>
    </row>
    <row r="251" spans="7:46" ht="30">
      <c r="G251" s="207" t="s">
        <v>5696</v>
      </c>
      <c r="H251" s="111">
        <v>14780983.183526</v>
      </c>
      <c r="O251" t="s">
        <v>25</v>
      </c>
      <c r="Q251" s="19"/>
      <c r="R251" s="19"/>
      <c r="S251" s="115"/>
      <c r="T251" s="207" t="s">
        <v>4888</v>
      </c>
      <c r="U251" s="207">
        <v>624</v>
      </c>
      <c r="V251" s="111">
        <v>320.5</v>
      </c>
      <c r="W251" s="111">
        <f t="shared" si="66"/>
        <v>199992</v>
      </c>
      <c r="X251" s="97" t="s">
        <v>452</v>
      </c>
      <c r="AH251" s="97">
        <v>231</v>
      </c>
      <c r="AI251" s="111" t="s">
        <v>5903</v>
      </c>
      <c r="AJ251" s="111">
        <v>-100000000</v>
      </c>
      <c r="AK251" s="97">
        <v>1</v>
      </c>
      <c r="AL251" s="20">
        <f t="shared" si="73"/>
        <v>13</v>
      </c>
      <c r="AM251" s="115"/>
      <c r="AN251" s="264" t="s">
        <v>5905</v>
      </c>
    </row>
    <row r="252" spans="7:46">
      <c r="G252" s="207" t="s">
        <v>5699</v>
      </c>
      <c r="H252" s="111">
        <v>17804396.448481999</v>
      </c>
      <c r="Q252" s="207" t="s">
        <v>25</v>
      </c>
      <c r="R252" s="207"/>
      <c r="S252" s="111"/>
      <c r="T252" s="207" t="s">
        <v>4893</v>
      </c>
      <c r="U252" s="207">
        <v>1086</v>
      </c>
      <c r="V252" s="111">
        <v>317.55</v>
      </c>
      <c r="W252" s="111">
        <f t="shared" si="66"/>
        <v>344859.3</v>
      </c>
      <c r="X252" s="97" t="s">
        <v>452</v>
      </c>
      <c r="AH252" s="97">
        <v>232</v>
      </c>
      <c r="AI252" s="111" t="s">
        <v>5906</v>
      </c>
      <c r="AJ252" s="111">
        <v>90000000</v>
      </c>
      <c r="AK252" s="97">
        <v>0</v>
      </c>
      <c r="AL252" s="20">
        <f t="shared" si="73"/>
        <v>12</v>
      </c>
      <c r="AM252" s="115"/>
      <c r="AN252" s="20"/>
    </row>
    <row r="253" spans="7:46" ht="30">
      <c r="G253" s="207" t="s">
        <v>5703</v>
      </c>
      <c r="H253" s="111">
        <v>11538335.631417999</v>
      </c>
      <c r="Q253" s="207"/>
      <c r="R253" s="207"/>
      <c r="S253" s="111">
        <f>SUM(S211:S252)</f>
        <v>110726068.78092602</v>
      </c>
      <c r="T253" s="207" t="s">
        <v>4898</v>
      </c>
      <c r="U253" s="207">
        <v>2820</v>
      </c>
      <c r="V253" s="111">
        <v>319.1096</v>
      </c>
      <c r="W253" s="111">
        <f t="shared" si="66"/>
        <v>899889.07200000004</v>
      </c>
      <c r="X253" s="97" t="s">
        <v>452</v>
      </c>
      <c r="AH253" s="97">
        <v>233</v>
      </c>
      <c r="AI253" s="111" t="s">
        <v>5906</v>
      </c>
      <c r="AJ253" s="111">
        <v>-90000000</v>
      </c>
      <c r="AK253" s="97">
        <v>1</v>
      </c>
      <c r="AL253" s="20">
        <f t="shared" si="73"/>
        <v>12</v>
      </c>
      <c r="AM253" s="115"/>
      <c r="AN253" s="264" t="s">
        <v>5907</v>
      </c>
      <c r="AQ253" t="s">
        <v>25</v>
      </c>
      <c r="AS253" t="s">
        <v>25</v>
      </c>
    </row>
    <row r="254" spans="7:46">
      <c r="G254" s="207" t="s">
        <v>5704</v>
      </c>
      <c r="H254" s="111">
        <v>12429517.767776001</v>
      </c>
      <c r="O254" t="s">
        <v>25</v>
      </c>
      <c r="Q254" s="41"/>
      <c r="R254" s="207"/>
      <c r="S254" s="207" t="s">
        <v>6</v>
      </c>
      <c r="T254" s="207" t="s">
        <v>4901</v>
      </c>
      <c r="U254" s="207">
        <v>1145</v>
      </c>
      <c r="V254" s="111">
        <v>325.44</v>
      </c>
      <c r="W254" s="111">
        <f t="shared" si="66"/>
        <v>372628.8</v>
      </c>
      <c r="X254" s="97" t="s">
        <v>452</v>
      </c>
      <c r="Y254" t="s">
        <v>25</v>
      </c>
      <c r="AH254" s="97">
        <v>234</v>
      </c>
      <c r="AI254" s="111" t="s">
        <v>5908</v>
      </c>
      <c r="AJ254" s="111">
        <v>30000000</v>
      </c>
      <c r="AK254" s="97">
        <v>0</v>
      </c>
      <c r="AL254" s="20">
        <f t="shared" si="73"/>
        <v>11</v>
      </c>
      <c r="AM254" s="115"/>
      <c r="AN254" s="264"/>
    </row>
    <row r="255" spans="7:46" ht="30">
      <c r="G255" s="207" t="s">
        <v>5714</v>
      </c>
      <c r="H255" s="111">
        <v>5031176.5087869996</v>
      </c>
      <c r="P255" t="s">
        <v>25</v>
      </c>
      <c r="Q255" s="94"/>
      <c r="T255" s="207" t="s">
        <v>4909</v>
      </c>
      <c r="U255" s="207">
        <v>20153</v>
      </c>
      <c r="V255" s="111">
        <v>322</v>
      </c>
      <c r="W255" s="111">
        <f t="shared" si="66"/>
        <v>6489266</v>
      </c>
      <c r="X255" s="97" t="s">
        <v>452</v>
      </c>
      <c r="AH255" s="97">
        <v>235</v>
      </c>
      <c r="AI255" s="111" t="s">
        <v>5908</v>
      </c>
      <c r="AJ255" s="111">
        <v>-30000000</v>
      </c>
      <c r="AK255" s="97">
        <v>3</v>
      </c>
      <c r="AL255" s="20">
        <f t="shared" si="73"/>
        <v>11</v>
      </c>
      <c r="AM255" s="115"/>
      <c r="AN255" s="264" t="s">
        <v>5909</v>
      </c>
    </row>
    <row r="256" spans="7:46">
      <c r="G256" s="207" t="s">
        <v>5716</v>
      </c>
      <c r="H256" s="111">
        <v>6822803.9080700008</v>
      </c>
      <c r="Q256" s="94" t="s">
        <v>25</v>
      </c>
      <c r="R256" s="94" t="s">
        <v>25</v>
      </c>
      <c r="T256" s="207" t="s">
        <v>4919</v>
      </c>
      <c r="U256" s="207">
        <v>93720</v>
      </c>
      <c r="V256" s="111">
        <v>325.435</v>
      </c>
      <c r="W256" s="111">
        <f t="shared" si="66"/>
        <v>30499768.199999999</v>
      </c>
      <c r="X256" s="97" t="s">
        <v>1071</v>
      </c>
      <c r="AH256" s="97">
        <v>236</v>
      </c>
      <c r="AI256" s="111" t="s">
        <v>5925</v>
      </c>
      <c r="AJ256" s="111">
        <v>50000000</v>
      </c>
      <c r="AK256" s="97">
        <v>1</v>
      </c>
      <c r="AL256" s="20">
        <f t="shared" si="73"/>
        <v>8</v>
      </c>
      <c r="AM256" s="115"/>
      <c r="AN256" s="264"/>
    </row>
    <row r="257" spans="7:45" ht="30">
      <c r="G257" s="207" t="s">
        <v>5720</v>
      </c>
      <c r="H257" s="111">
        <v>330889.73324399994</v>
      </c>
      <c r="Q257" s="94" t="s">
        <v>25</v>
      </c>
      <c r="R257" s="94" t="s">
        <v>25</v>
      </c>
      <c r="S257" t="s">
        <v>25</v>
      </c>
      <c r="T257" s="207" t="s">
        <v>4919</v>
      </c>
      <c r="U257" s="207">
        <v>20895</v>
      </c>
      <c r="V257" s="111">
        <v>325.435</v>
      </c>
      <c r="W257" s="111">
        <f t="shared" si="66"/>
        <v>6799964.3250000002</v>
      </c>
      <c r="X257" s="97" t="s">
        <v>744</v>
      </c>
      <c r="AH257" s="97">
        <v>237</v>
      </c>
      <c r="AI257" s="111" t="s">
        <v>5929</v>
      </c>
      <c r="AJ257" s="111">
        <v>-50000000</v>
      </c>
      <c r="AK257" s="97">
        <v>5</v>
      </c>
      <c r="AL257" s="20">
        <f t="shared" si="73"/>
        <v>7</v>
      </c>
      <c r="AM257" s="115"/>
      <c r="AN257" s="264" t="s">
        <v>5930</v>
      </c>
      <c r="AP257" t="s">
        <v>25</v>
      </c>
    </row>
    <row r="258" spans="7:45">
      <c r="G258" s="207" t="s">
        <v>5730</v>
      </c>
      <c r="H258" s="111">
        <v>6610318.1610199995</v>
      </c>
      <c r="K258" t="s">
        <v>25</v>
      </c>
      <c r="P258" t="s">
        <v>25</v>
      </c>
      <c r="S258" t="s">
        <v>25</v>
      </c>
      <c r="T258" s="207" t="s">
        <v>4928</v>
      </c>
      <c r="U258" s="207">
        <v>2611</v>
      </c>
      <c r="V258" s="111">
        <v>325.435</v>
      </c>
      <c r="W258" s="111">
        <f t="shared" si="66"/>
        <v>849710.78500000003</v>
      </c>
      <c r="X258" s="97" t="s">
        <v>744</v>
      </c>
      <c r="AA258" t="s">
        <v>25</v>
      </c>
      <c r="AH258" s="97">
        <v>238</v>
      </c>
      <c r="AI258" s="111" t="s">
        <v>6464</v>
      </c>
      <c r="AJ258" s="111">
        <v>10000</v>
      </c>
      <c r="AK258" s="97">
        <v>1</v>
      </c>
      <c r="AL258" s="20">
        <f t="shared" si="73"/>
        <v>2</v>
      </c>
      <c r="AM258" s="115"/>
      <c r="AN258" s="264"/>
    </row>
    <row r="259" spans="7:45" ht="15" customHeight="1">
      <c r="G259" s="207" t="s">
        <v>5731</v>
      </c>
      <c r="H259" s="111">
        <v>710713.17725199996</v>
      </c>
      <c r="Q259" s="97" t="s">
        <v>744</v>
      </c>
      <c r="R259" s="97"/>
      <c r="S259" t="s">
        <v>25</v>
      </c>
      <c r="T259" s="207" t="s">
        <v>4936</v>
      </c>
      <c r="U259" s="207">
        <v>6750</v>
      </c>
      <c r="V259" s="111">
        <v>339.3</v>
      </c>
      <c r="W259" s="111">
        <f t="shared" si="66"/>
        <v>2290275</v>
      </c>
      <c r="X259" s="97" t="s">
        <v>744</v>
      </c>
      <c r="AH259" s="97">
        <v>239</v>
      </c>
      <c r="AI259" s="111" t="s">
        <v>6469</v>
      </c>
      <c r="AJ259" s="111">
        <v>50000000</v>
      </c>
      <c r="AK259" s="97">
        <v>1</v>
      </c>
      <c r="AL259" s="20">
        <f t="shared" si="73"/>
        <v>1</v>
      </c>
      <c r="AM259" s="115"/>
      <c r="AN259" s="264" t="s">
        <v>5356</v>
      </c>
    </row>
    <row r="260" spans="7:45">
      <c r="G260" s="207" t="s">
        <v>5733</v>
      </c>
      <c r="H260" s="111">
        <v>81025</v>
      </c>
      <c r="J260" t="s">
        <v>25</v>
      </c>
      <c r="Q260" s="97" t="s">
        <v>4402</v>
      </c>
      <c r="R260" s="93">
        <v>172908000</v>
      </c>
      <c r="T260" s="207" t="s">
        <v>4944</v>
      </c>
      <c r="U260" s="207">
        <v>1850</v>
      </c>
      <c r="V260" s="111">
        <v>334.10050000000001</v>
      </c>
      <c r="W260" s="111">
        <f t="shared" si="66"/>
        <v>618085.92500000005</v>
      </c>
      <c r="X260" s="97" t="s">
        <v>452</v>
      </c>
      <c r="Y260" t="s">
        <v>25</v>
      </c>
      <c r="AH260" s="97"/>
      <c r="AI260" s="111"/>
      <c r="AJ260" s="111"/>
      <c r="AK260" s="97"/>
      <c r="AL260" s="20">
        <f t="shared" si="73"/>
        <v>0</v>
      </c>
      <c r="AM260" s="115"/>
      <c r="AN260" s="264"/>
    </row>
    <row r="261" spans="7:45">
      <c r="G261" s="207" t="s">
        <v>5736</v>
      </c>
      <c r="H261" s="111">
        <v>219696.613128</v>
      </c>
      <c r="K261" t="s">
        <v>25</v>
      </c>
      <c r="Q261" s="97" t="s">
        <v>4435</v>
      </c>
      <c r="R261" s="93">
        <v>1400000</v>
      </c>
      <c r="T261" s="207" t="s">
        <v>4944</v>
      </c>
      <c r="U261" s="207">
        <v>-1194</v>
      </c>
      <c r="V261" s="111">
        <v>335</v>
      </c>
      <c r="W261" s="111">
        <f t="shared" si="66"/>
        <v>-399990</v>
      </c>
      <c r="X261" s="97" t="s">
        <v>4409</v>
      </c>
      <c r="Y261" t="s">
        <v>25</v>
      </c>
      <c r="AH261" s="97"/>
      <c r="AI261" s="111"/>
      <c r="AJ261" s="111"/>
      <c r="AK261" s="97"/>
      <c r="AL261" s="20">
        <f t="shared" si="73"/>
        <v>0</v>
      </c>
      <c r="AM261" s="115"/>
      <c r="AN261" s="264"/>
      <c r="AR261" t="s">
        <v>25</v>
      </c>
      <c r="AS261" t="s">
        <v>25</v>
      </c>
    </row>
    <row r="262" spans="7:45">
      <c r="G262" s="207" t="s">
        <v>5737</v>
      </c>
      <c r="H262" s="111">
        <v>6035472.4070199998</v>
      </c>
      <c r="P262" t="s">
        <v>25</v>
      </c>
      <c r="Q262" s="97" t="s">
        <v>4208</v>
      </c>
      <c r="R262" s="93">
        <v>247393</v>
      </c>
      <c r="S262" t="s">
        <v>25</v>
      </c>
      <c r="T262" s="207" t="s">
        <v>4944</v>
      </c>
      <c r="U262" s="207">
        <v>1194</v>
      </c>
      <c r="V262" s="111">
        <v>335</v>
      </c>
      <c r="W262" s="111">
        <f t="shared" si="66"/>
        <v>399990</v>
      </c>
      <c r="X262" s="97" t="s">
        <v>744</v>
      </c>
      <c r="AH262" s="97"/>
      <c r="AI262" s="111"/>
      <c r="AJ262" s="111"/>
      <c r="AK262" s="97"/>
      <c r="AL262" s="20">
        <f t="shared" si="73"/>
        <v>0</v>
      </c>
      <c r="AM262" s="115"/>
      <c r="AN262" s="264"/>
    </row>
    <row r="263" spans="7:45" ht="17.25" customHeight="1">
      <c r="G263" s="207" t="s">
        <v>5739</v>
      </c>
      <c r="H263" s="111">
        <v>984486.34963200008</v>
      </c>
      <c r="Q263" s="97" t="s">
        <v>4207</v>
      </c>
      <c r="R263" s="93">
        <v>6780000</v>
      </c>
      <c r="T263" s="207" t="s">
        <v>4951</v>
      </c>
      <c r="U263" s="207">
        <v>433</v>
      </c>
      <c r="V263" s="111">
        <v>345.68</v>
      </c>
      <c r="W263" s="111">
        <f t="shared" si="66"/>
        <v>149679.44</v>
      </c>
      <c r="X263" s="97" t="s">
        <v>744</v>
      </c>
      <c r="AH263" s="97"/>
      <c r="AI263" s="111"/>
      <c r="AJ263" s="111"/>
      <c r="AK263" s="97"/>
      <c r="AL263" s="20">
        <f t="shared" si="73"/>
        <v>0</v>
      </c>
      <c r="AM263" s="115"/>
      <c r="AN263" s="264"/>
      <c r="AS263" t="s">
        <v>25</v>
      </c>
    </row>
    <row r="264" spans="7:45">
      <c r="G264" s="207" t="s">
        <v>5741</v>
      </c>
      <c r="H264" s="111">
        <v>2143469.938015</v>
      </c>
      <c r="Q264" s="97" t="s">
        <v>4533</v>
      </c>
      <c r="R264" s="93">
        <v>-4000000</v>
      </c>
      <c r="T264" s="207" t="s">
        <v>4955</v>
      </c>
      <c r="U264" s="207">
        <v>55459</v>
      </c>
      <c r="V264" s="111">
        <v>362.51978000000003</v>
      </c>
      <c r="W264" s="111">
        <f t="shared" si="66"/>
        <v>20104984.479020003</v>
      </c>
      <c r="X264" s="97" t="s">
        <v>452</v>
      </c>
      <c r="AH264" s="97"/>
      <c r="AI264" s="111"/>
      <c r="AJ264" s="111"/>
      <c r="AK264" s="97"/>
      <c r="AL264" s="20">
        <f t="shared" si="73"/>
        <v>0</v>
      </c>
      <c r="AM264" s="115"/>
      <c r="AN264" s="264"/>
    </row>
    <row r="265" spans="7:45">
      <c r="G265" s="207" t="s">
        <v>5753</v>
      </c>
      <c r="H265" s="111">
        <v>3085460.5177150001</v>
      </c>
      <c r="Q265" s="97" t="s">
        <v>4558</v>
      </c>
      <c r="R265" s="93">
        <v>16727037</v>
      </c>
      <c r="T265" s="207" t="s">
        <v>4959</v>
      </c>
      <c r="U265" s="207">
        <v>-57212</v>
      </c>
      <c r="V265" s="111">
        <v>368.45400000000001</v>
      </c>
      <c r="W265" s="111">
        <f t="shared" si="66"/>
        <v>-21079990.248</v>
      </c>
      <c r="X265" s="97" t="s">
        <v>452</v>
      </c>
      <c r="AH265" s="97"/>
      <c r="AI265" s="111"/>
      <c r="AJ265" s="111"/>
      <c r="AK265" s="97"/>
      <c r="AL265" s="20">
        <f t="shared" si="73"/>
        <v>0</v>
      </c>
      <c r="AM265" s="115"/>
      <c r="AN265" s="20"/>
    </row>
    <row r="266" spans="7:45">
      <c r="G266" s="207" t="s">
        <v>5755</v>
      </c>
      <c r="H266" s="111">
        <v>8261456.790906</v>
      </c>
      <c r="Q266" s="97" t="s">
        <v>4563</v>
      </c>
      <c r="R266" s="93">
        <v>46460683</v>
      </c>
      <c r="S266" t="s">
        <v>25</v>
      </c>
      <c r="T266" s="207" t="s">
        <v>4960</v>
      </c>
      <c r="U266" s="207">
        <v>-15881</v>
      </c>
      <c r="V266" s="111">
        <v>374.61599999999999</v>
      </c>
      <c r="W266" s="111">
        <f t="shared" si="66"/>
        <v>-5949276.6959999995</v>
      </c>
      <c r="X266" s="97" t="s">
        <v>452</v>
      </c>
      <c r="AH266" s="97"/>
      <c r="AI266" s="111"/>
      <c r="AJ266" s="111"/>
      <c r="AK266" s="97"/>
      <c r="AL266" s="20">
        <f t="shared" si="73"/>
        <v>0</v>
      </c>
      <c r="AM266" s="115"/>
      <c r="AN266" s="20"/>
    </row>
    <row r="267" spans="7:45" ht="20.25" customHeight="1">
      <c r="G267" s="207" t="s">
        <v>5757</v>
      </c>
      <c r="H267" s="111">
        <v>6572373.7593120001</v>
      </c>
      <c r="J267" t="s">
        <v>25</v>
      </c>
      <c r="Q267" s="97" t="s">
        <v>4564</v>
      </c>
      <c r="R267" s="93">
        <v>19663646</v>
      </c>
      <c r="T267" s="207" t="s">
        <v>4966</v>
      </c>
      <c r="U267" s="207">
        <v>-41289</v>
      </c>
      <c r="V267" s="111">
        <v>372.27</v>
      </c>
      <c r="W267" s="111">
        <f t="shared" si="66"/>
        <v>-15370656.029999999</v>
      </c>
      <c r="X267" s="97" t="s">
        <v>452</v>
      </c>
      <c r="AH267" s="97"/>
      <c r="AI267" s="111"/>
      <c r="AJ267" s="111"/>
      <c r="AK267" s="97"/>
      <c r="AL267" s="20">
        <f t="shared" si="73"/>
        <v>0</v>
      </c>
      <c r="AM267" s="115"/>
      <c r="AN267" s="20"/>
      <c r="AS267" t="s">
        <v>25</v>
      </c>
    </row>
    <row r="268" spans="7:45">
      <c r="G268" s="207" t="s">
        <v>5762</v>
      </c>
      <c r="H268" s="111">
        <v>2893243.5730909999</v>
      </c>
      <c r="Q268" s="97" t="s">
        <v>4585</v>
      </c>
      <c r="R268" s="93">
        <v>4374525</v>
      </c>
      <c r="T268" s="207" t="s">
        <v>4972</v>
      </c>
      <c r="U268" s="207">
        <v>13563</v>
      </c>
      <c r="V268" s="111">
        <v>365.69799999999998</v>
      </c>
      <c r="W268" s="111">
        <f t="shared" si="66"/>
        <v>4959961.9739999995</v>
      </c>
      <c r="X268" s="97" t="s">
        <v>452</v>
      </c>
      <c r="AH268" s="97"/>
      <c r="AI268" s="111"/>
      <c r="AJ268" s="111">
        <v>0</v>
      </c>
      <c r="AK268" s="97"/>
      <c r="AL268" s="20">
        <f t="shared" si="73"/>
        <v>0</v>
      </c>
      <c r="AM268" s="115">
        <f t="shared" si="74"/>
        <v>0</v>
      </c>
      <c r="AN268" s="20"/>
    </row>
    <row r="269" spans="7:45" ht="21.75" customHeight="1">
      <c r="G269" s="207" t="s">
        <v>5764</v>
      </c>
      <c r="H269" s="111">
        <v>94992058.939007998</v>
      </c>
      <c r="Q269" s="97" t="s">
        <v>4596</v>
      </c>
      <c r="R269" s="93">
        <v>6550580</v>
      </c>
      <c r="T269" s="207" t="s">
        <v>4972</v>
      </c>
      <c r="U269" s="207">
        <v>27344</v>
      </c>
      <c r="V269" s="111">
        <v>365.69799999999998</v>
      </c>
      <c r="W269" s="111">
        <f t="shared" si="66"/>
        <v>9999646.1119999997</v>
      </c>
      <c r="X269" s="97" t="s">
        <v>452</v>
      </c>
      <c r="AH269" s="97"/>
      <c r="AI269" s="111"/>
      <c r="AJ269" s="111"/>
      <c r="AK269" s="97">
        <v>0</v>
      </c>
      <c r="AL269" s="20">
        <f t="shared" si="73"/>
        <v>0</v>
      </c>
      <c r="AM269" s="115">
        <f t="shared" si="74"/>
        <v>0</v>
      </c>
      <c r="AN269" s="20"/>
    </row>
    <row r="270" spans="7:45" ht="30">
      <c r="G270" s="207" t="s">
        <v>5770</v>
      </c>
      <c r="H270" s="111">
        <v>275021.925965</v>
      </c>
      <c r="J270" t="s">
        <v>25</v>
      </c>
      <c r="Q270" s="97" t="s">
        <v>4598</v>
      </c>
      <c r="R270" s="93">
        <v>6650895</v>
      </c>
      <c r="T270" s="207" t="s">
        <v>4979</v>
      </c>
      <c r="U270" s="207">
        <v>-103145</v>
      </c>
      <c r="V270" s="111">
        <v>393.334</v>
      </c>
      <c r="W270" s="111">
        <f t="shared" si="66"/>
        <v>-40570435.43</v>
      </c>
      <c r="X270" s="36" t="s">
        <v>4984</v>
      </c>
      <c r="AH270" s="97"/>
      <c r="AI270" s="97"/>
      <c r="AJ270" s="93">
        <f>SUM(AJ20:AJ269)</f>
        <v>488480949.06156397</v>
      </c>
      <c r="AK270" s="97"/>
      <c r="AL270" s="97">
        <v>0</v>
      </c>
      <c r="AM270" s="93">
        <f>SUM(AM20:AM269)</f>
        <v>436061367468</v>
      </c>
      <c r="AN270" s="93">
        <f>AM270*AN273/31</f>
        <v>234446284.24481148</v>
      </c>
    </row>
    <row r="271" spans="7:45">
      <c r="G271" s="207" t="s">
        <v>5777</v>
      </c>
      <c r="H271" s="111">
        <v>327451.9203</v>
      </c>
      <c r="Q271" s="97" t="s">
        <v>4614</v>
      </c>
      <c r="R271" s="93">
        <v>2145814</v>
      </c>
      <c r="T271" s="207" t="s">
        <v>4979</v>
      </c>
      <c r="U271" s="207">
        <v>-369</v>
      </c>
      <c r="V271" s="111">
        <v>393.334</v>
      </c>
      <c r="W271" s="111">
        <f t="shared" si="66"/>
        <v>-145140.24600000001</v>
      </c>
      <c r="X271" s="36" t="s">
        <v>5056</v>
      </c>
      <c r="AH271" s="97"/>
      <c r="AI271" s="97"/>
      <c r="AJ271" s="97" t="s">
        <v>4043</v>
      </c>
      <c r="AK271" s="97"/>
      <c r="AL271" s="97"/>
      <c r="AM271" s="97" t="s">
        <v>284</v>
      </c>
      <c r="AN271" s="97" t="s">
        <v>928</v>
      </c>
      <c r="AR271" t="s">
        <v>25</v>
      </c>
    </row>
    <row r="272" spans="7:45">
      <c r="G272" s="207" t="s">
        <v>5789</v>
      </c>
      <c r="H272" s="111">
        <v>260081.94096800001</v>
      </c>
      <c r="J272" t="s">
        <v>25</v>
      </c>
      <c r="Q272" s="97" t="s">
        <v>4625</v>
      </c>
      <c r="R272" s="93">
        <v>4369730</v>
      </c>
      <c r="T272" s="207" t="s">
        <v>4979</v>
      </c>
      <c r="U272" s="207">
        <v>-889</v>
      </c>
      <c r="V272" s="111">
        <v>393.334</v>
      </c>
      <c r="W272" s="111">
        <f t="shared" si="66"/>
        <v>-349673.92599999998</v>
      </c>
      <c r="X272" s="36" t="s">
        <v>5057</v>
      </c>
      <c r="AH272" s="97"/>
      <c r="AI272" s="97"/>
      <c r="AJ272" s="97"/>
      <c r="AK272" s="97"/>
      <c r="AL272" s="97"/>
      <c r="AM272" s="97"/>
      <c r="AN272" s="97"/>
    </row>
    <row r="273" spans="7:40">
      <c r="G273" s="207" t="s">
        <v>5800</v>
      </c>
      <c r="H273" s="111">
        <v>2909284.5308940001</v>
      </c>
      <c r="J273" t="s">
        <v>25</v>
      </c>
      <c r="Q273" s="97" t="s">
        <v>4627</v>
      </c>
      <c r="R273" s="93">
        <v>8739459</v>
      </c>
      <c r="S273" t="s">
        <v>25</v>
      </c>
      <c r="T273" s="207" t="s">
        <v>4988</v>
      </c>
      <c r="U273" s="207">
        <v>2546</v>
      </c>
      <c r="V273" s="111">
        <v>393</v>
      </c>
      <c r="W273" s="111">
        <f t="shared" si="66"/>
        <v>1000578</v>
      </c>
      <c r="X273" s="36" t="s">
        <v>452</v>
      </c>
      <c r="AH273" s="97"/>
      <c r="AI273" s="97"/>
      <c r="AJ273" s="97"/>
      <c r="AK273" s="97"/>
      <c r="AL273" s="97"/>
      <c r="AM273" s="97" t="s">
        <v>4044</v>
      </c>
      <c r="AN273" s="97">
        <v>1.6667000000000001E-2</v>
      </c>
    </row>
    <row r="274" spans="7:40">
      <c r="G274" s="207" t="s">
        <v>5801</v>
      </c>
      <c r="H274" s="111">
        <v>37723205.094084002</v>
      </c>
      <c r="J274" t="s">
        <v>25</v>
      </c>
      <c r="Q274" s="97" t="s">
        <v>4636</v>
      </c>
      <c r="R274" s="93">
        <v>6667654</v>
      </c>
      <c r="T274" s="207" t="s">
        <v>4989</v>
      </c>
      <c r="U274" s="207">
        <v>1034</v>
      </c>
      <c r="V274" s="111">
        <v>386.608</v>
      </c>
      <c r="W274" s="111">
        <f t="shared" si="66"/>
        <v>399752.67200000002</v>
      </c>
      <c r="X274" s="36" t="s">
        <v>452</v>
      </c>
      <c r="AH274" s="97"/>
      <c r="AI274" s="97"/>
      <c r="AJ274" s="97"/>
      <c r="AK274" s="97"/>
      <c r="AL274" s="97"/>
      <c r="AM274" s="97"/>
      <c r="AN274" s="97"/>
    </row>
    <row r="275" spans="7:40">
      <c r="G275" s="207" t="s">
        <v>5802</v>
      </c>
      <c r="H275" s="111">
        <v>1500094.75168</v>
      </c>
      <c r="Q275" s="97" t="s">
        <v>4644</v>
      </c>
      <c r="R275" s="93">
        <v>8981245</v>
      </c>
      <c r="T275" s="207" t="s">
        <v>4996</v>
      </c>
      <c r="U275" s="207">
        <v>300</v>
      </c>
      <c r="V275" s="111">
        <v>400</v>
      </c>
      <c r="W275" s="111">
        <f t="shared" si="66"/>
        <v>120000</v>
      </c>
      <c r="X275" s="36" t="s">
        <v>452</v>
      </c>
      <c r="AH275" s="97"/>
      <c r="AI275" s="97" t="s">
        <v>4045</v>
      </c>
      <c r="AJ275" s="93">
        <f>AJ270+AN270</f>
        <v>722927233.3063755</v>
      </c>
      <c r="AK275" s="97"/>
      <c r="AL275" s="97"/>
      <c r="AM275" s="97"/>
      <c r="AN275" s="97"/>
    </row>
    <row r="276" spans="7:40">
      <c r="G276" s="207" t="s">
        <v>5803</v>
      </c>
      <c r="H276" s="111">
        <v>7230628.4378079996</v>
      </c>
      <c r="Q276" s="97" t="s">
        <v>4648</v>
      </c>
      <c r="R276" s="93">
        <v>9181756</v>
      </c>
      <c r="T276" s="207" t="s">
        <v>5004</v>
      </c>
      <c r="U276" s="207">
        <v>782</v>
      </c>
      <c r="V276" s="111">
        <v>409</v>
      </c>
      <c r="W276" s="111">
        <f t="shared" si="66"/>
        <v>319838</v>
      </c>
      <c r="X276" s="36" t="s">
        <v>744</v>
      </c>
      <c r="AI276" t="s">
        <v>4048</v>
      </c>
      <c r="AJ276" s="112">
        <f>SUM(N42:N54)</f>
        <v>4525635012</v>
      </c>
      <c r="AM276" t="s">
        <v>25</v>
      </c>
    </row>
    <row r="277" spans="7:40">
      <c r="G277" s="207" t="s">
        <v>5805</v>
      </c>
      <c r="H277" s="111">
        <v>29767389.390390001</v>
      </c>
      <c r="J277" t="s">
        <v>25</v>
      </c>
      <c r="Q277" s="97" t="s">
        <v>4651</v>
      </c>
      <c r="R277" s="93">
        <v>11811208</v>
      </c>
      <c r="S277" t="s">
        <v>25</v>
      </c>
      <c r="T277" s="207" t="s">
        <v>5008</v>
      </c>
      <c r="U277" s="207">
        <v>1220</v>
      </c>
      <c r="V277" s="111">
        <v>409.9</v>
      </c>
      <c r="W277" s="111">
        <f t="shared" si="66"/>
        <v>500078</v>
      </c>
      <c r="X277" s="36" t="s">
        <v>744</v>
      </c>
      <c r="AI277" t="s">
        <v>4118</v>
      </c>
      <c r="AJ277" s="112">
        <f>AJ276-AJ270</f>
        <v>4037154062.938436</v>
      </c>
      <c r="AM277" t="s">
        <v>25</v>
      </c>
    </row>
    <row r="278" spans="7:40">
      <c r="G278" s="207" t="s">
        <v>5807</v>
      </c>
      <c r="H278" s="111">
        <v>151560.25597</v>
      </c>
      <c r="Q278" s="97" t="s">
        <v>4664</v>
      </c>
      <c r="R278" s="93">
        <v>41248054</v>
      </c>
      <c r="S278" t="s">
        <v>25</v>
      </c>
      <c r="T278" s="207" t="s">
        <v>5010</v>
      </c>
      <c r="U278" s="207">
        <v>1285</v>
      </c>
      <c r="V278" s="111">
        <v>388.84</v>
      </c>
      <c r="W278" s="111">
        <f t="shared" si="66"/>
        <v>499659.39999999997</v>
      </c>
      <c r="X278" s="36" t="s">
        <v>452</v>
      </c>
      <c r="AI278" t="s">
        <v>928</v>
      </c>
      <c r="AJ278" s="112">
        <f>AN270</f>
        <v>234446284.24481148</v>
      </c>
      <c r="AN278" t="s">
        <v>25</v>
      </c>
    </row>
    <row r="279" spans="7:40">
      <c r="G279" s="207" t="s">
        <v>5808</v>
      </c>
      <c r="H279" s="111">
        <v>481318.88078800001</v>
      </c>
      <c r="Q279" s="97" t="s">
        <v>4671</v>
      </c>
      <c r="R279" s="93">
        <v>37328780</v>
      </c>
      <c r="T279" s="207" t="s">
        <v>5001</v>
      </c>
      <c r="U279" s="207">
        <v>1924</v>
      </c>
      <c r="V279" s="111">
        <v>386.69600000000003</v>
      </c>
      <c r="W279" s="111">
        <f t="shared" si="66"/>
        <v>744003.10400000005</v>
      </c>
      <c r="X279" s="36" t="s">
        <v>452</v>
      </c>
      <c r="AI279" t="s">
        <v>4049</v>
      </c>
      <c r="AJ279" s="112">
        <f>AJ276-AJ275</f>
        <v>3802707778.6936245</v>
      </c>
      <c r="AN279" t="s">
        <v>25</v>
      </c>
    </row>
    <row r="280" spans="7:40">
      <c r="G280" s="207" t="s">
        <v>5812</v>
      </c>
      <c r="H280" s="111">
        <v>146277.56820000001</v>
      </c>
      <c r="Q280" s="97" t="s">
        <v>4749</v>
      </c>
      <c r="R280" s="93">
        <v>-2194100</v>
      </c>
      <c r="T280" s="207" t="s">
        <v>5026</v>
      </c>
      <c r="U280" s="207">
        <v>165</v>
      </c>
      <c r="V280" s="111">
        <v>393.5</v>
      </c>
      <c r="W280" s="111">
        <f t="shared" si="66"/>
        <v>64927.5</v>
      </c>
      <c r="X280" s="36" t="s">
        <v>452</v>
      </c>
      <c r="AM280" t="s">
        <v>25</v>
      </c>
    </row>
    <row r="281" spans="7:40" ht="30">
      <c r="G281" s="207" t="s">
        <v>5827</v>
      </c>
      <c r="H281" s="111">
        <v>424693.40162399999</v>
      </c>
      <c r="Q281" s="97" t="s">
        <v>4786</v>
      </c>
      <c r="R281" s="93">
        <v>20193916</v>
      </c>
      <c r="T281" s="207" t="s">
        <v>5031</v>
      </c>
      <c r="U281" s="207">
        <v>-34859</v>
      </c>
      <c r="V281" s="111">
        <v>403.1585</v>
      </c>
      <c r="W281" s="111">
        <f t="shared" si="66"/>
        <v>-14053702.1515</v>
      </c>
      <c r="X281" s="36" t="s">
        <v>5034</v>
      </c>
      <c r="AJ281" t="s">
        <v>25</v>
      </c>
    </row>
    <row r="282" spans="7:40">
      <c r="G282" s="207" t="s">
        <v>5830</v>
      </c>
      <c r="H282" s="111">
        <v>558320.40202399995</v>
      </c>
      <c r="Q282" s="97" t="s">
        <v>4856</v>
      </c>
      <c r="R282" s="93">
        <v>-2000000</v>
      </c>
      <c r="T282" s="207" t="s">
        <v>5002</v>
      </c>
      <c r="U282" s="207">
        <v>8476</v>
      </c>
      <c r="V282" s="111">
        <v>419.49900000000002</v>
      </c>
      <c r="W282" s="111">
        <f t="shared" si="66"/>
        <v>3555673.5240000002</v>
      </c>
      <c r="X282" s="36" t="s">
        <v>5040</v>
      </c>
    </row>
    <row r="283" spans="7:40">
      <c r="G283" s="207" t="s">
        <v>5832</v>
      </c>
      <c r="H283" s="111">
        <v>207642.22201140001</v>
      </c>
      <c r="J283" t="s">
        <v>25</v>
      </c>
      <c r="O283" t="s">
        <v>25</v>
      </c>
      <c r="Q283" s="97" t="s">
        <v>4919</v>
      </c>
      <c r="R283" s="93">
        <v>6800000</v>
      </c>
      <c r="S283" t="s">
        <v>25</v>
      </c>
      <c r="T283" s="207" t="s">
        <v>5052</v>
      </c>
      <c r="U283" s="207">
        <v>903</v>
      </c>
      <c r="V283" s="111">
        <v>442.77379999999999</v>
      </c>
      <c r="W283" s="111">
        <f t="shared" si="66"/>
        <v>399824.7414</v>
      </c>
      <c r="X283" s="36" t="s">
        <v>744</v>
      </c>
    </row>
    <row r="284" spans="7:40">
      <c r="G284" s="207" t="s">
        <v>5872</v>
      </c>
      <c r="H284" s="111">
        <v>637977.33504399995</v>
      </c>
      <c r="J284" t="s">
        <v>25</v>
      </c>
      <c r="Q284" s="97" t="s">
        <v>4928</v>
      </c>
      <c r="R284" s="93">
        <v>850000</v>
      </c>
      <c r="T284" s="207" t="s">
        <v>5055</v>
      </c>
      <c r="U284" s="207">
        <v>113</v>
      </c>
      <c r="V284" s="111">
        <v>442.48200000000003</v>
      </c>
      <c r="W284" s="111">
        <f t="shared" ref="W284:W365" si="75">U284*V284</f>
        <v>50000.466</v>
      </c>
      <c r="X284" s="36" t="s">
        <v>744</v>
      </c>
    </row>
    <row r="285" spans="7:40">
      <c r="G285" s="207" t="s">
        <v>5873</v>
      </c>
      <c r="H285" s="111">
        <v>466552.25632400002</v>
      </c>
      <c r="J285" t="s">
        <v>25</v>
      </c>
      <c r="Q285" s="97" t="s">
        <v>4936</v>
      </c>
      <c r="R285" s="93">
        <v>2290500</v>
      </c>
      <c r="T285" s="207" t="s">
        <v>5065</v>
      </c>
      <c r="U285" s="207">
        <v>671</v>
      </c>
      <c r="V285" s="111">
        <v>447</v>
      </c>
      <c r="W285" s="111">
        <f t="shared" si="75"/>
        <v>299937</v>
      </c>
      <c r="X285" s="36" t="s">
        <v>744</v>
      </c>
    </row>
    <row r="286" spans="7:40">
      <c r="G286" s="207" t="s">
        <v>5874</v>
      </c>
      <c r="H286" s="111">
        <v>189134.85153000001</v>
      </c>
      <c r="Q286" s="97" t="s">
        <v>4944</v>
      </c>
      <c r="R286" s="93">
        <v>400000</v>
      </c>
      <c r="S286" t="s">
        <v>25</v>
      </c>
      <c r="T286" s="207" t="s">
        <v>5067</v>
      </c>
      <c r="U286" s="207">
        <v>7</v>
      </c>
      <c r="V286" s="111">
        <v>465.31200000000001</v>
      </c>
      <c r="W286" s="111">
        <f t="shared" si="75"/>
        <v>3257.1840000000002</v>
      </c>
      <c r="X286" s="36" t="s">
        <v>452</v>
      </c>
      <c r="AH286" s="97" t="s">
        <v>3625</v>
      </c>
      <c r="AI286" s="97" t="s">
        <v>180</v>
      </c>
      <c r="AJ286" s="97" t="s">
        <v>267</v>
      </c>
      <c r="AK286" s="97" t="s">
        <v>4042</v>
      </c>
      <c r="AL286" s="97" t="s">
        <v>4034</v>
      </c>
      <c r="AM286" s="97" t="s">
        <v>282</v>
      </c>
      <c r="AN286" s="97" t="s">
        <v>4268</v>
      </c>
    </row>
    <row r="287" spans="7:40">
      <c r="G287" s="207" t="s">
        <v>5879</v>
      </c>
      <c r="H287" s="111">
        <v>564888.82799599995</v>
      </c>
      <c r="J287" t="s">
        <v>25</v>
      </c>
      <c r="K287" t="s">
        <v>25</v>
      </c>
      <c r="Q287" s="97" t="s">
        <v>4951</v>
      </c>
      <c r="R287" s="93">
        <v>150000</v>
      </c>
      <c r="T287" s="207" t="s">
        <v>5071</v>
      </c>
      <c r="U287" s="207">
        <v>12950</v>
      </c>
      <c r="V287" s="111">
        <v>463.31599999999997</v>
      </c>
      <c r="W287" s="111">
        <f t="shared" si="75"/>
        <v>5999942.1999999993</v>
      </c>
      <c r="X287" s="36" t="s">
        <v>452</v>
      </c>
      <c r="AH287" s="97">
        <v>1</v>
      </c>
      <c r="AI287" s="97" t="s">
        <v>3933</v>
      </c>
      <c r="AJ287" s="115">
        <v>3555820</v>
      </c>
      <c r="AK287" s="97">
        <v>2</v>
      </c>
      <c r="AL287" s="97">
        <f>AK287+AL288</f>
        <v>991</v>
      </c>
      <c r="AM287" s="97">
        <f>AJ287*AL287</f>
        <v>3523817620</v>
      </c>
      <c r="AN287" s="97" t="s">
        <v>4286</v>
      </c>
    </row>
    <row r="288" spans="7:40">
      <c r="G288" s="207" t="s">
        <v>5925</v>
      </c>
      <c r="H288" s="111">
        <v>259993.58394100002</v>
      </c>
      <c r="J288" t="s">
        <v>25</v>
      </c>
      <c r="Q288" s="97" t="s">
        <v>4979</v>
      </c>
      <c r="R288" s="93">
        <v>-144950</v>
      </c>
      <c r="T288" s="207" t="s">
        <v>5073</v>
      </c>
      <c r="U288" s="207">
        <v>37</v>
      </c>
      <c r="V288" s="111">
        <v>463.315</v>
      </c>
      <c r="W288" s="111">
        <f t="shared" si="75"/>
        <v>17142.654999999999</v>
      </c>
      <c r="X288" s="36" t="s">
        <v>452</v>
      </c>
      <c r="AH288" s="97">
        <v>2</v>
      </c>
      <c r="AI288" s="97" t="s">
        <v>4008</v>
      </c>
      <c r="AJ288" s="115">
        <v>1720837</v>
      </c>
      <c r="AK288" s="97">
        <v>51</v>
      </c>
      <c r="AL288" s="97">
        <f t="shared" ref="AL288:AL297" si="76">AK288+AL289</f>
        <v>989</v>
      </c>
      <c r="AM288" s="97">
        <f t="shared" ref="AM288:AM316" si="77">AJ288*AL288</f>
        <v>1701907793</v>
      </c>
      <c r="AN288" s="97" t="s">
        <v>4287</v>
      </c>
    </row>
    <row r="289" spans="7:44">
      <c r="G289" s="207" t="s">
        <v>5929</v>
      </c>
      <c r="H289" s="111">
        <v>269955.31205999997</v>
      </c>
      <c r="J289" t="s">
        <v>25</v>
      </c>
      <c r="Q289" s="97" t="s">
        <v>5004</v>
      </c>
      <c r="R289" s="93">
        <v>320000</v>
      </c>
      <c r="T289" s="207" t="s">
        <v>5074</v>
      </c>
      <c r="U289" s="207">
        <v>19</v>
      </c>
      <c r="V289" s="111">
        <v>434.3</v>
      </c>
      <c r="W289" s="111">
        <f t="shared" si="75"/>
        <v>8251.7000000000007</v>
      </c>
      <c r="X289" s="36" t="s">
        <v>452</v>
      </c>
      <c r="Y289" t="s">
        <v>25</v>
      </c>
      <c r="AH289" s="97">
        <v>3</v>
      </c>
      <c r="AI289" s="97" t="s">
        <v>4112</v>
      </c>
      <c r="AJ289" s="115">
        <v>150000</v>
      </c>
      <c r="AK289" s="97">
        <v>3</v>
      </c>
      <c r="AL289" s="97">
        <f t="shared" si="76"/>
        <v>938</v>
      </c>
      <c r="AM289" s="97">
        <f t="shared" si="77"/>
        <v>140700000</v>
      </c>
      <c r="AN289" s="97"/>
    </row>
    <row r="290" spans="7:44">
      <c r="G290" s="207" t="s">
        <v>6478</v>
      </c>
      <c r="H290" s="111">
        <v>560534.38387200003</v>
      </c>
      <c r="Q290" s="97" t="s">
        <v>5008</v>
      </c>
      <c r="R290" s="93">
        <v>500000</v>
      </c>
      <c r="S290" t="s">
        <v>25</v>
      </c>
      <c r="T290" s="207" t="s">
        <v>5076</v>
      </c>
      <c r="U290" s="207">
        <v>16</v>
      </c>
      <c r="V290" s="111">
        <v>439</v>
      </c>
      <c r="W290" s="111">
        <f t="shared" si="75"/>
        <v>7024</v>
      </c>
      <c r="X290" s="36" t="s">
        <v>452</v>
      </c>
      <c r="Y290" t="s">
        <v>25</v>
      </c>
      <c r="AH290" s="97">
        <v>4</v>
      </c>
      <c r="AI290" s="97" t="s">
        <v>4127</v>
      </c>
      <c r="AJ290" s="115">
        <v>-95000</v>
      </c>
      <c r="AK290" s="97">
        <v>8</v>
      </c>
      <c r="AL290" s="97">
        <f t="shared" si="76"/>
        <v>935</v>
      </c>
      <c r="AM290" s="97">
        <f t="shared" si="77"/>
        <v>-88825000</v>
      </c>
      <c r="AN290" s="97"/>
    </row>
    <row r="291" spans="7:44" ht="45">
      <c r="G291" s="207" t="s">
        <v>6490</v>
      </c>
      <c r="H291" s="111">
        <v>581484.96802499995</v>
      </c>
      <c r="J291" t="s">
        <v>25</v>
      </c>
      <c r="O291" t="s">
        <v>25</v>
      </c>
      <c r="Q291" s="97" t="s">
        <v>5052</v>
      </c>
      <c r="R291" s="93">
        <v>400000</v>
      </c>
      <c r="S291" t="s">
        <v>25</v>
      </c>
      <c r="T291" s="207" t="s">
        <v>5076</v>
      </c>
      <c r="U291" s="207">
        <v>9191</v>
      </c>
      <c r="V291" s="111">
        <v>440.24630000000002</v>
      </c>
      <c r="W291" s="111">
        <f t="shared" si="75"/>
        <v>4046303.7433000002</v>
      </c>
      <c r="X291" s="36" t="s">
        <v>5077</v>
      </c>
      <c r="AH291" s="97">
        <v>5</v>
      </c>
      <c r="AI291" s="97" t="s">
        <v>4152</v>
      </c>
      <c r="AJ291" s="115">
        <v>3150000</v>
      </c>
      <c r="AK291" s="97">
        <v>16</v>
      </c>
      <c r="AL291" s="97">
        <f t="shared" si="76"/>
        <v>927</v>
      </c>
      <c r="AM291" s="97">
        <f t="shared" si="77"/>
        <v>2920050000</v>
      </c>
      <c r="AN291" s="97"/>
    </row>
    <row r="292" spans="7:44">
      <c r="G292" s="207" t="s">
        <v>6493</v>
      </c>
      <c r="H292" s="111">
        <v>2136964.3409779998</v>
      </c>
      <c r="Q292" s="97" t="s">
        <v>5055</v>
      </c>
      <c r="R292" s="93">
        <v>50000</v>
      </c>
      <c r="S292" t="s">
        <v>25</v>
      </c>
      <c r="T292" s="207" t="s">
        <v>5079</v>
      </c>
      <c r="U292" s="207">
        <v>-8792</v>
      </c>
      <c r="V292" s="111">
        <v>441.90665999999999</v>
      </c>
      <c r="W292" s="111">
        <f t="shared" si="75"/>
        <v>-3885243.3547199997</v>
      </c>
      <c r="X292" s="36" t="s">
        <v>5080</v>
      </c>
      <c r="AH292" s="97">
        <v>6</v>
      </c>
      <c r="AI292" s="97" t="s">
        <v>4217</v>
      </c>
      <c r="AJ292" s="115">
        <v>-65000</v>
      </c>
      <c r="AK292" s="97">
        <v>1</v>
      </c>
      <c r="AL292" s="97">
        <f t="shared" si="76"/>
        <v>911</v>
      </c>
      <c r="AM292" s="97">
        <f t="shared" si="77"/>
        <v>-59215000</v>
      </c>
      <c r="AN292" s="97"/>
    </row>
    <row r="293" spans="7:44">
      <c r="G293" s="207" t="s">
        <v>6498</v>
      </c>
      <c r="H293" s="111">
        <v>593783.22629999998</v>
      </c>
      <c r="Q293" s="97" t="s">
        <v>5065</v>
      </c>
      <c r="R293" s="93">
        <v>300000</v>
      </c>
      <c r="T293" s="207" t="s">
        <v>5086</v>
      </c>
      <c r="U293" s="207">
        <v>530</v>
      </c>
      <c r="V293" s="111">
        <v>472</v>
      </c>
      <c r="W293" s="111">
        <f t="shared" si="75"/>
        <v>250160</v>
      </c>
      <c r="X293" s="36" t="s">
        <v>744</v>
      </c>
      <c r="AH293" s="97">
        <v>7</v>
      </c>
      <c r="AI293" s="97" t="s">
        <v>4288</v>
      </c>
      <c r="AJ293" s="115">
        <v>-95000</v>
      </c>
      <c r="AK293" s="97">
        <v>6</v>
      </c>
      <c r="AL293" s="97">
        <f t="shared" si="76"/>
        <v>910</v>
      </c>
      <c r="AM293" s="97">
        <f t="shared" si="77"/>
        <v>-86450000</v>
      </c>
      <c r="AN293" s="97"/>
    </row>
    <row r="294" spans="7:44" ht="30">
      <c r="G294" s="207" t="s">
        <v>6502</v>
      </c>
      <c r="H294" s="111">
        <v>469469.96222000004</v>
      </c>
      <c r="Q294" s="97" t="s">
        <v>5086</v>
      </c>
      <c r="R294" s="93">
        <v>250000</v>
      </c>
      <c r="T294" s="207" t="s">
        <v>5086</v>
      </c>
      <c r="U294" s="207">
        <v>12</v>
      </c>
      <c r="V294" s="111">
        <v>481.86</v>
      </c>
      <c r="W294" s="111">
        <f t="shared" si="75"/>
        <v>5782.32</v>
      </c>
      <c r="X294" s="36" t="s">
        <v>5088</v>
      </c>
      <c r="AH294" s="97">
        <v>8</v>
      </c>
      <c r="AI294" s="97" t="s">
        <v>4289</v>
      </c>
      <c r="AJ294" s="115">
        <v>232000</v>
      </c>
      <c r="AK294" s="97">
        <v>7</v>
      </c>
      <c r="AL294" s="97">
        <f t="shared" si="76"/>
        <v>904</v>
      </c>
      <c r="AM294" s="97">
        <f t="shared" si="77"/>
        <v>209728000</v>
      </c>
      <c r="AN294" s="97"/>
    </row>
    <row r="295" spans="7:44">
      <c r="G295" s="207"/>
      <c r="H295" s="111"/>
      <c r="Q295" s="97" t="s">
        <v>5119</v>
      </c>
      <c r="R295" s="93">
        <v>200000</v>
      </c>
      <c r="T295" s="207" t="s">
        <v>5112</v>
      </c>
      <c r="U295" s="207">
        <v>846</v>
      </c>
      <c r="V295" s="111">
        <v>472.7</v>
      </c>
      <c r="W295" s="111">
        <f t="shared" si="75"/>
        <v>399904.2</v>
      </c>
      <c r="X295" s="36" t="s">
        <v>452</v>
      </c>
      <c r="AH295" s="97">
        <v>9</v>
      </c>
      <c r="AI295" s="97" t="s">
        <v>4267</v>
      </c>
      <c r="AJ295" s="115">
        <v>13000000</v>
      </c>
      <c r="AK295" s="97">
        <v>2</v>
      </c>
      <c r="AL295" s="97">
        <f t="shared" si="76"/>
        <v>897</v>
      </c>
      <c r="AM295" s="97">
        <f t="shared" si="77"/>
        <v>11661000000</v>
      </c>
      <c r="AN295" s="97"/>
    </row>
    <row r="296" spans="7:44">
      <c r="G296" s="207"/>
      <c r="H296" s="111"/>
      <c r="Q296" s="97" t="s">
        <v>5151</v>
      </c>
      <c r="R296" s="93">
        <v>122000</v>
      </c>
      <c r="T296" s="207" t="s">
        <v>5115</v>
      </c>
      <c r="U296" s="207">
        <v>191</v>
      </c>
      <c r="V296" s="111">
        <v>484.572</v>
      </c>
      <c r="W296" s="111">
        <f t="shared" si="75"/>
        <v>92553.252000000008</v>
      </c>
      <c r="X296" s="36" t="s">
        <v>5116</v>
      </c>
      <c r="AH296" s="97">
        <v>10</v>
      </c>
      <c r="AI296" s="97" t="s">
        <v>4290</v>
      </c>
      <c r="AJ296" s="115">
        <v>10000000</v>
      </c>
      <c r="AK296" s="97">
        <v>3</v>
      </c>
      <c r="AL296" s="97">
        <f t="shared" si="76"/>
        <v>895</v>
      </c>
      <c r="AM296" s="97">
        <f t="shared" si="77"/>
        <v>8950000000</v>
      </c>
      <c r="AN296" s="97"/>
    </row>
    <row r="297" spans="7:44">
      <c r="G297" s="207"/>
      <c r="H297" s="111"/>
      <c r="J297" t="s">
        <v>25</v>
      </c>
      <c r="Q297" s="97" t="s">
        <v>5159</v>
      </c>
      <c r="R297" s="93">
        <v>200000</v>
      </c>
      <c r="S297" t="s">
        <v>25</v>
      </c>
      <c r="T297" s="207" t="s">
        <v>5115</v>
      </c>
      <c r="U297" s="207">
        <v>-206</v>
      </c>
      <c r="V297" s="111">
        <v>484.572</v>
      </c>
      <c r="W297" s="111">
        <f t="shared" si="75"/>
        <v>-99821.831999999995</v>
      </c>
      <c r="X297" s="36" t="s">
        <v>5118</v>
      </c>
      <c r="AH297" s="97">
        <v>11</v>
      </c>
      <c r="AI297" s="97" t="s">
        <v>4279</v>
      </c>
      <c r="AJ297" s="115">
        <v>3400000</v>
      </c>
      <c r="AK297" s="97">
        <v>9</v>
      </c>
      <c r="AL297" s="97">
        <f t="shared" si="76"/>
        <v>892</v>
      </c>
      <c r="AM297" s="97">
        <f t="shared" si="77"/>
        <v>3032800000</v>
      </c>
      <c r="AN297" s="97"/>
    </row>
    <row r="298" spans="7:44">
      <c r="G298" s="207"/>
      <c r="H298" s="111"/>
      <c r="Q298" s="97" t="s">
        <v>5169</v>
      </c>
      <c r="R298" s="93">
        <v>60000</v>
      </c>
      <c r="T298" s="207" t="s">
        <v>5119</v>
      </c>
      <c r="U298" s="207">
        <v>20685</v>
      </c>
      <c r="V298" s="111">
        <v>483.43312200000003</v>
      </c>
      <c r="W298" s="111">
        <f t="shared" si="75"/>
        <v>9999814.1285699997</v>
      </c>
      <c r="X298" s="36" t="s">
        <v>5121</v>
      </c>
      <c r="AH298" s="97">
        <v>12</v>
      </c>
      <c r="AI298" s="97" t="s">
        <v>4316</v>
      </c>
      <c r="AJ298" s="115">
        <v>-8736514</v>
      </c>
      <c r="AK298" s="97">
        <v>1</v>
      </c>
      <c r="AL298" s="97">
        <f>AK298+AL299</f>
        <v>883</v>
      </c>
      <c r="AM298" s="97">
        <f t="shared" si="77"/>
        <v>-7714341862</v>
      </c>
      <c r="AN298" s="97"/>
    </row>
    <row r="299" spans="7:44">
      <c r="G299" s="207"/>
      <c r="H299" s="111"/>
      <c r="O299" t="s">
        <v>25</v>
      </c>
      <c r="Q299" s="97" t="s">
        <v>5228</v>
      </c>
      <c r="R299" s="93">
        <v>-200000</v>
      </c>
      <c r="S299" t="s">
        <v>25</v>
      </c>
      <c r="T299" s="207" t="s">
        <v>5119</v>
      </c>
      <c r="U299" s="207">
        <v>-413</v>
      </c>
      <c r="V299" s="111">
        <v>483.40199999999999</v>
      </c>
      <c r="W299" s="111">
        <f t="shared" si="75"/>
        <v>-199645.02599999998</v>
      </c>
      <c r="X299" s="36" t="s">
        <v>4409</v>
      </c>
      <c r="AH299" s="97">
        <v>13</v>
      </c>
      <c r="AI299" s="97" t="s">
        <v>4317</v>
      </c>
      <c r="AJ299" s="115">
        <v>555000</v>
      </c>
      <c r="AK299" s="97">
        <v>5</v>
      </c>
      <c r="AL299" s="97">
        <f t="shared" ref="AL299:AL315" si="78">AK299+AL300</f>
        <v>882</v>
      </c>
      <c r="AM299" s="97">
        <f t="shared" si="77"/>
        <v>489510000</v>
      </c>
      <c r="AN299" s="97"/>
    </row>
    <row r="300" spans="7:44">
      <c r="G300" s="207"/>
      <c r="H300" s="111"/>
      <c r="J300" t="s">
        <v>25</v>
      </c>
      <c r="Q300" s="97" t="s">
        <v>5290</v>
      </c>
      <c r="R300" s="93">
        <v>-9000000</v>
      </c>
      <c r="T300" s="207" t="s">
        <v>5119</v>
      </c>
      <c r="U300" s="207">
        <v>413</v>
      </c>
      <c r="V300" s="111">
        <v>483.40199999999999</v>
      </c>
      <c r="W300" s="111">
        <f t="shared" si="75"/>
        <v>199645.02599999998</v>
      </c>
      <c r="X300" s="36" t="s">
        <v>744</v>
      </c>
      <c r="AH300" s="97">
        <v>14</v>
      </c>
      <c r="AI300" s="97" t="s">
        <v>4341</v>
      </c>
      <c r="AJ300" s="115">
        <v>-448308</v>
      </c>
      <c r="AK300" s="97">
        <v>6</v>
      </c>
      <c r="AL300" s="97">
        <f t="shared" si="78"/>
        <v>877</v>
      </c>
      <c r="AM300" s="97">
        <f t="shared" si="77"/>
        <v>-393166116</v>
      </c>
      <c r="AN300" s="97"/>
      <c r="AR300" t="s">
        <v>25</v>
      </c>
    </row>
    <row r="301" spans="7:44">
      <c r="G301" s="207" t="s">
        <v>5500</v>
      </c>
      <c r="H301" s="111">
        <v>-87000000</v>
      </c>
      <c r="P301" t="s">
        <v>25</v>
      </c>
      <c r="Q301" s="97" t="s">
        <v>5349</v>
      </c>
      <c r="R301" s="93">
        <v>-26000000</v>
      </c>
      <c r="T301" s="207" t="s">
        <v>5124</v>
      </c>
      <c r="U301" s="207">
        <v>-828</v>
      </c>
      <c r="V301" s="111">
        <v>483.43312200000003</v>
      </c>
      <c r="W301" s="111">
        <f t="shared" si="75"/>
        <v>-400282.62501600001</v>
      </c>
      <c r="X301" s="36" t="s">
        <v>452</v>
      </c>
      <c r="AH301" s="97">
        <v>15</v>
      </c>
      <c r="AI301" s="97" t="s">
        <v>4368</v>
      </c>
      <c r="AJ301" s="115">
        <v>33225</v>
      </c>
      <c r="AK301" s="97">
        <v>0</v>
      </c>
      <c r="AL301" s="97">
        <f t="shared" si="78"/>
        <v>871</v>
      </c>
      <c r="AM301" s="97">
        <f t="shared" si="77"/>
        <v>28938975</v>
      </c>
      <c r="AN301" s="97"/>
    </row>
    <row r="302" spans="7:44">
      <c r="G302" s="207"/>
      <c r="H302" s="111"/>
      <c r="Q302" s="97" t="s">
        <v>5353</v>
      </c>
      <c r="R302" s="93">
        <v>-95900000</v>
      </c>
      <c r="T302" s="207" t="s">
        <v>5127</v>
      </c>
      <c r="U302" s="207">
        <v>12</v>
      </c>
      <c r="V302" s="111">
        <v>473.61898300000001</v>
      </c>
      <c r="W302" s="111">
        <f t="shared" si="75"/>
        <v>5683.4277959999999</v>
      </c>
      <c r="X302" s="36" t="s">
        <v>452</v>
      </c>
      <c r="AH302" s="147">
        <v>16</v>
      </c>
      <c r="AI302" s="147" t="s">
        <v>4368</v>
      </c>
      <c r="AJ302" s="186">
        <v>4098523</v>
      </c>
      <c r="AK302" s="147">
        <v>2</v>
      </c>
      <c r="AL302" s="147">
        <f t="shared" si="78"/>
        <v>871</v>
      </c>
      <c r="AM302" s="147">
        <f t="shared" si="77"/>
        <v>3569813533</v>
      </c>
      <c r="AN302" s="147" t="s">
        <v>650</v>
      </c>
    </row>
    <row r="303" spans="7:44">
      <c r="G303" s="207"/>
      <c r="H303" s="1"/>
      <c r="Q303" s="97" t="s">
        <v>5354</v>
      </c>
      <c r="R303" s="93">
        <v>-28950000</v>
      </c>
      <c r="S303" t="s">
        <v>25</v>
      </c>
      <c r="T303" s="207" t="s">
        <v>5130</v>
      </c>
      <c r="U303" s="207">
        <v>963</v>
      </c>
      <c r="V303" s="111">
        <v>477.92200000000003</v>
      </c>
      <c r="W303" s="111">
        <f t="shared" si="75"/>
        <v>460238.886</v>
      </c>
      <c r="X303" s="36" t="s">
        <v>452</v>
      </c>
      <c r="AH303" s="147">
        <v>17</v>
      </c>
      <c r="AI303" s="147" t="s">
        <v>4379</v>
      </c>
      <c r="AJ303" s="186">
        <v>-1000000</v>
      </c>
      <c r="AK303" s="147">
        <v>7</v>
      </c>
      <c r="AL303" s="147">
        <f t="shared" si="78"/>
        <v>869</v>
      </c>
      <c r="AM303" s="147">
        <f t="shared" si="77"/>
        <v>-869000000</v>
      </c>
      <c r="AN303" s="147" t="s">
        <v>650</v>
      </c>
    </row>
    <row r="304" spans="7:44">
      <c r="G304" s="207"/>
      <c r="H304" s="1"/>
      <c r="Q304" s="97" t="s">
        <v>5504</v>
      </c>
      <c r="R304" s="93">
        <v>-93000000</v>
      </c>
      <c r="S304" t="s">
        <v>25</v>
      </c>
      <c r="T304" s="207" t="s">
        <v>5131</v>
      </c>
      <c r="U304" s="207">
        <v>2815</v>
      </c>
      <c r="V304" s="111">
        <v>461.79</v>
      </c>
      <c r="W304" s="111">
        <f t="shared" si="75"/>
        <v>1299938.8500000001</v>
      </c>
      <c r="X304" s="36" t="s">
        <v>452</v>
      </c>
      <c r="AH304" s="147">
        <v>18</v>
      </c>
      <c r="AI304" s="147" t="s">
        <v>4399</v>
      </c>
      <c r="AJ304" s="186">
        <v>750000</v>
      </c>
      <c r="AK304" s="147">
        <v>1</v>
      </c>
      <c r="AL304" s="147">
        <f t="shared" si="78"/>
        <v>862</v>
      </c>
      <c r="AM304" s="147">
        <f t="shared" si="77"/>
        <v>646500000</v>
      </c>
      <c r="AN304" s="147" t="s">
        <v>650</v>
      </c>
    </row>
    <row r="305" spans="7:40">
      <c r="G305" s="207"/>
      <c r="H305" s="1"/>
      <c r="Q305" s="97" t="s">
        <v>5513</v>
      </c>
      <c r="R305" s="93">
        <v>50000000</v>
      </c>
      <c r="T305" s="207" t="s">
        <v>5131</v>
      </c>
      <c r="U305" s="207">
        <v>1581</v>
      </c>
      <c r="V305" s="111">
        <v>461.79</v>
      </c>
      <c r="W305" s="111">
        <f t="shared" si="75"/>
        <v>730089.99</v>
      </c>
      <c r="X305" s="36" t="s">
        <v>452</v>
      </c>
      <c r="Y305" t="s">
        <v>25</v>
      </c>
      <c r="AH305" s="192">
        <v>19</v>
      </c>
      <c r="AI305" s="192" t="s">
        <v>4400</v>
      </c>
      <c r="AJ305" s="193">
        <v>-604152</v>
      </c>
      <c r="AK305" s="192">
        <v>0</v>
      </c>
      <c r="AL305" s="192">
        <f t="shared" si="78"/>
        <v>861</v>
      </c>
      <c r="AM305" s="192">
        <f t="shared" si="77"/>
        <v>-520174872</v>
      </c>
      <c r="AN305" s="192" t="s">
        <v>650</v>
      </c>
    </row>
    <row r="306" spans="7:40">
      <c r="G306" s="207" t="s">
        <v>6</v>
      </c>
      <c r="H306" s="1">
        <f>SUM(H182:H305)</f>
        <v>1451595337.2390366</v>
      </c>
      <c r="O306" t="s">
        <v>25</v>
      </c>
      <c r="Q306" s="97" t="s">
        <v>4212</v>
      </c>
      <c r="R306" s="93">
        <v>2749471.1668000002</v>
      </c>
      <c r="T306" s="207" t="s">
        <v>977</v>
      </c>
      <c r="U306" s="207">
        <v>41</v>
      </c>
      <c r="V306" s="111">
        <v>514.48099999999999</v>
      </c>
      <c r="W306" s="111">
        <f t="shared" si="75"/>
        <v>21093.721000000001</v>
      </c>
      <c r="X306" s="36" t="s">
        <v>5116</v>
      </c>
      <c r="AH306" s="97">
        <v>20</v>
      </c>
      <c r="AI306" s="97" t="s">
        <v>4401</v>
      </c>
      <c r="AJ306" s="115">
        <v>-587083</v>
      </c>
      <c r="AK306" s="97">
        <v>4</v>
      </c>
      <c r="AL306" s="97">
        <f t="shared" si="78"/>
        <v>861</v>
      </c>
      <c r="AM306" s="97">
        <f t="shared" si="77"/>
        <v>-505478463</v>
      </c>
      <c r="AN306" s="97"/>
    </row>
    <row r="307" spans="7:40">
      <c r="G307" s="286"/>
      <c r="H307" s="1"/>
      <c r="Q307" s="97" t="s">
        <v>5604</v>
      </c>
      <c r="R307" s="93">
        <v>-680940.07019999996</v>
      </c>
      <c r="T307" s="207" t="s">
        <v>4256</v>
      </c>
      <c r="U307" s="207">
        <v>71</v>
      </c>
      <c r="V307" s="111">
        <v>482.57</v>
      </c>
      <c r="W307" s="111">
        <f t="shared" si="75"/>
        <v>34262.47</v>
      </c>
      <c r="X307" s="36" t="s">
        <v>5116</v>
      </c>
      <c r="AH307" s="192">
        <v>21</v>
      </c>
      <c r="AI307" s="192" t="s">
        <v>4402</v>
      </c>
      <c r="AJ307" s="193">
        <v>-754351</v>
      </c>
      <c r="AK307" s="192">
        <v>0</v>
      </c>
      <c r="AL307" s="147">
        <f t="shared" si="78"/>
        <v>857</v>
      </c>
      <c r="AM307" s="192">
        <f t="shared" si="77"/>
        <v>-646478807</v>
      </c>
      <c r="AN307" s="192" t="s">
        <v>650</v>
      </c>
    </row>
    <row r="308" spans="7:40">
      <c r="Q308" s="97" t="s">
        <v>5604</v>
      </c>
      <c r="R308" s="93">
        <v>-48684800.338199995</v>
      </c>
      <c r="T308" s="207" t="s">
        <v>5151</v>
      </c>
      <c r="U308" s="207">
        <v>-250</v>
      </c>
      <c r="V308" s="111">
        <v>487.125</v>
      </c>
      <c r="W308" s="111">
        <f t="shared" si="75"/>
        <v>-121781.25</v>
      </c>
      <c r="X308" s="36" t="s">
        <v>4409</v>
      </c>
      <c r="AH308" s="97">
        <v>22</v>
      </c>
      <c r="AI308" s="97" t="s">
        <v>4402</v>
      </c>
      <c r="AJ308" s="115">
        <v>-189619</v>
      </c>
      <c r="AK308" s="97">
        <v>15</v>
      </c>
      <c r="AL308" s="97">
        <f t="shared" si="78"/>
        <v>857</v>
      </c>
      <c r="AM308" s="97">
        <f t="shared" si="77"/>
        <v>-162503483</v>
      </c>
      <c r="AN308" s="97"/>
    </row>
    <row r="309" spans="7:40">
      <c r="Q309" s="97" t="s">
        <v>5628</v>
      </c>
      <c r="R309" s="93">
        <v>1500000</v>
      </c>
      <c r="S309" t="s">
        <v>25</v>
      </c>
      <c r="T309" s="207" t="s">
        <v>5151</v>
      </c>
      <c r="U309" s="207">
        <v>250</v>
      </c>
      <c r="V309" s="111">
        <v>487.125</v>
      </c>
      <c r="W309" s="111">
        <f t="shared" si="75"/>
        <v>121781.25</v>
      </c>
      <c r="X309" s="36" t="s">
        <v>744</v>
      </c>
      <c r="AH309" s="192">
        <v>23</v>
      </c>
      <c r="AI309" s="192" t="s">
        <v>4464</v>
      </c>
      <c r="AJ309" s="186">
        <v>7100</v>
      </c>
      <c r="AK309" s="192">
        <v>0</v>
      </c>
      <c r="AL309" s="147">
        <f t="shared" si="78"/>
        <v>842</v>
      </c>
      <c r="AM309" s="192">
        <f t="shared" si="77"/>
        <v>5978200</v>
      </c>
      <c r="AN309" s="192" t="s">
        <v>650</v>
      </c>
    </row>
    <row r="310" spans="7:40">
      <c r="G310" s="94"/>
      <c r="H310" s="9" t="s">
        <v>452</v>
      </c>
      <c r="Q310" s="97" t="s">
        <v>965</v>
      </c>
      <c r="R310" s="93">
        <v>11221062</v>
      </c>
      <c r="S310" t="s">
        <v>25</v>
      </c>
      <c r="T310" s="207" t="s">
        <v>5159</v>
      </c>
      <c r="U310" s="207">
        <v>-1439</v>
      </c>
      <c r="V310" s="111">
        <v>486.53068999999999</v>
      </c>
      <c r="W310" s="111">
        <f t="shared" si="75"/>
        <v>-700117.66290999996</v>
      </c>
      <c r="X310" s="36" t="s">
        <v>4409</v>
      </c>
      <c r="AH310" s="20">
        <v>24</v>
      </c>
      <c r="AI310" s="20" t="s">
        <v>4464</v>
      </c>
      <c r="AJ310" s="115">
        <v>-147902</v>
      </c>
      <c r="AK310" s="20">
        <v>3</v>
      </c>
      <c r="AL310" s="97">
        <f t="shared" si="78"/>
        <v>842</v>
      </c>
      <c r="AM310" s="20">
        <f t="shared" si="77"/>
        <v>-124533484</v>
      </c>
      <c r="AN310" s="20"/>
    </row>
    <row r="311" spans="7:40">
      <c r="G311" s="94"/>
      <c r="H311" s="9" t="s">
        <v>744</v>
      </c>
      <c r="P311" t="s">
        <v>25</v>
      </c>
      <c r="Q311" s="97" t="s">
        <v>5862</v>
      </c>
      <c r="R311" s="93">
        <v>20031495.928431001</v>
      </c>
      <c r="T311" s="207" t="s">
        <v>5159</v>
      </c>
      <c r="U311" s="207">
        <v>411</v>
      </c>
      <c r="V311" s="111">
        <v>486.53068999999999</v>
      </c>
      <c r="W311" s="111">
        <f t="shared" si="75"/>
        <v>199964.11358999999</v>
      </c>
      <c r="X311" s="36" t="s">
        <v>744</v>
      </c>
      <c r="Y311" t="s">
        <v>25</v>
      </c>
      <c r="AH311" s="147">
        <v>25</v>
      </c>
      <c r="AI311" s="147" t="s">
        <v>4472</v>
      </c>
      <c r="AJ311" s="186">
        <v>-37200</v>
      </c>
      <c r="AK311" s="147">
        <v>4</v>
      </c>
      <c r="AL311" s="147">
        <f t="shared" si="78"/>
        <v>839</v>
      </c>
      <c r="AM311" s="192">
        <f t="shared" si="77"/>
        <v>-31210800</v>
      </c>
      <c r="AN311" s="147" t="s">
        <v>650</v>
      </c>
    </row>
    <row r="312" spans="7:40">
      <c r="G312" s="94"/>
      <c r="H312" s="9" t="s">
        <v>5427</v>
      </c>
      <c r="P312" t="s">
        <v>25</v>
      </c>
      <c r="Q312" s="97" t="s">
        <v>5890</v>
      </c>
      <c r="R312" s="93">
        <v>-154353015.43906799</v>
      </c>
      <c r="S312" t="s">
        <v>25</v>
      </c>
      <c r="T312" s="207" t="s">
        <v>5129</v>
      </c>
      <c r="U312" s="207">
        <v>-4290</v>
      </c>
      <c r="V312" s="111">
        <v>497.57670000000002</v>
      </c>
      <c r="W312" s="111">
        <f t="shared" si="75"/>
        <v>-2134604.0430000001</v>
      </c>
      <c r="X312" s="36" t="s">
        <v>452</v>
      </c>
      <c r="AH312" s="97">
        <v>26</v>
      </c>
      <c r="AI312" s="97" t="s">
        <v>4499</v>
      </c>
      <c r="AJ312" s="115">
        <v>-372326</v>
      </c>
      <c r="AK312" s="97">
        <v>21</v>
      </c>
      <c r="AL312" s="97">
        <f t="shared" si="78"/>
        <v>835</v>
      </c>
      <c r="AM312" s="20">
        <f t="shared" si="77"/>
        <v>-310892210</v>
      </c>
      <c r="AN312" s="97"/>
    </row>
    <row r="313" spans="7:40">
      <c r="G313" s="94"/>
      <c r="H313" s="9" t="s">
        <v>1071</v>
      </c>
      <c r="Q313" s="97" t="s">
        <v>5912</v>
      </c>
      <c r="R313" s="93">
        <v>16643927.89773</v>
      </c>
      <c r="S313" t="s">
        <v>25</v>
      </c>
      <c r="T313" s="207" t="s">
        <v>5166</v>
      </c>
      <c r="U313" s="207">
        <v>-644</v>
      </c>
      <c r="V313" s="111">
        <v>494.76464499999997</v>
      </c>
      <c r="W313" s="111">
        <f t="shared" si="75"/>
        <v>-318628.43137999997</v>
      </c>
      <c r="X313" s="36" t="s">
        <v>452</v>
      </c>
      <c r="AH313" s="97">
        <v>27</v>
      </c>
      <c r="AI313" s="97" t="s">
        <v>4546</v>
      </c>
      <c r="AJ313" s="115">
        <v>235062</v>
      </c>
      <c r="AK313" s="97">
        <v>0</v>
      </c>
      <c r="AL313" s="97">
        <f t="shared" si="78"/>
        <v>814</v>
      </c>
      <c r="AM313" s="20">
        <f t="shared" si="77"/>
        <v>191340468</v>
      </c>
      <c r="AN313" s="97"/>
    </row>
    <row r="314" spans="7:40">
      <c r="H314" s="9" t="s">
        <v>5364</v>
      </c>
      <c r="Q314" s="97" t="s">
        <v>5913</v>
      </c>
      <c r="R314" s="93">
        <v>33355467.51292</v>
      </c>
      <c r="T314" s="207" t="s">
        <v>5169</v>
      </c>
      <c r="U314" s="207">
        <v>-112</v>
      </c>
      <c r="V314" s="111">
        <v>485.78</v>
      </c>
      <c r="W314" s="111">
        <f t="shared" si="75"/>
        <v>-54407.360000000001</v>
      </c>
      <c r="X314" s="36" t="s">
        <v>452</v>
      </c>
      <c r="AH314" s="147">
        <v>28</v>
      </c>
      <c r="AI314" s="147" t="s">
        <v>4546</v>
      </c>
      <c r="AJ314" s="186">
        <v>235062</v>
      </c>
      <c r="AK314" s="147">
        <v>9</v>
      </c>
      <c r="AL314" s="97">
        <f t="shared" si="78"/>
        <v>814</v>
      </c>
      <c r="AM314" s="147">
        <f t="shared" si="77"/>
        <v>191340468</v>
      </c>
      <c r="AN314" s="147" t="s">
        <v>650</v>
      </c>
    </row>
    <row r="315" spans="7:40">
      <c r="H315" s="9" t="s">
        <v>5534</v>
      </c>
      <c r="Q315" s="97" t="s">
        <v>6464</v>
      </c>
      <c r="R315" s="93">
        <v>30000000</v>
      </c>
      <c r="S315" t="s">
        <v>25</v>
      </c>
      <c r="T315" s="207" t="s">
        <v>5169</v>
      </c>
      <c r="U315" s="207">
        <v>123</v>
      </c>
      <c r="V315" s="111">
        <v>485.78</v>
      </c>
      <c r="W315" s="111">
        <f t="shared" si="75"/>
        <v>59750.939999999995</v>
      </c>
      <c r="X315" s="36" t="s">
        <v>744</v>
      </c>
      <c r="AH315" s="147">
        <v>29</v>
      </c>
      <c r="AI315" s="147" t="s">
        <v>4564</v>
      </c>
      <c r="AJ315" s="186">
        <v>450000</v>
      </c>
      <c r="AK315" s="147">
        <v>0</v>
      </c>
      <c r="AL315" s="97">
        <f t="shared" si="78"/>
        <v>805</v>
      </c>
      <c r="AM315" s="147">
        <f t="shared" si="77"/>
        <v>362250000</v>
      </c>
      <c r="AN315" s="147" t="s">
        <v>650</v>
      </c>
    </row>
    <row r="316" spans="7:40">
      <c r="H316" s="287" t="s">
        <v>5535</v>
      </c>
      <c r="Q316" s="97" t="s">
        <v>6493</v>
      </c>
      <c r="R316" s="93">
        <v>6000000</v>
      </c>
      <c r="T316" s="207" t="s">
        <v>5169</v>
      </c>
      <c r="U316" s="207">
        <v>-123</v>
      </c>
      <c r="V316" s="111">
        <v>485.78</v>
      </c>
      <c r="W316" s="111">
        <f t="shared" si="75"/>
        <v>-59750.939999999995</v>
      </c>
      <c r="X316" s="36" t="s">
        <v>4409</v>
      </c>
      <c r="AH316" s="20">
        <v>30</v>
      </c>
      <c r="AI316" s="20" t="s">
        <v>4564</v>
      </c>
      <c r="AJ316" s="115">
        <v>450000</v>
      </c>
      <c r="AK316" s="20">
        <v>22</v>
      </c>
      <c r="AL316" s="97">
        <f>AK316+AL317</f>
        <v>805</v>
      </c>
      <c r="AM316" s="20">
        <f t="shared" si="77"/>
        <v>362250000</v>
      </c>
      <c r="AN316" s="20"/>
    </row>
    <row r="317" spans="7:40">
      <c r="H317" s="287" t="s">
        <v>744</v>
      </c>
      <c r="Q317" s="97"/>
      <c r="R317" s="93"/>
      <c r="T317" s="207" t="s">
        <v>5212</v>
      </c>
      <c r="U317" s="207">
        <v>32367</v>
      </c>
      <c r="V317" s="111">
        <v>556.12900000000002</v>
      </c>
      <c r="W317" s="111">
        <f t="shared" si="75"/>
        <v>18000227.343000002</v>
      </c>
      <c r="X317" s="36" t="s">
        <v>452</v>
      </c>
      <c r="AH317" s="147">
        <v>31</v>
      </c>
      <c r="AI317" s="147" t="s">
        <v>4627</v>
      </c>
      <c r="AJ317" s="186">
        <v>300000</v>
      </c>
      <c r="AK317" s="147">
        <v>0</v>
      </c>
      <c r="AL317" s="147">
        <f t="shared" ref="AL317:AL332" si="79">AK317+AL318</f>
        <v>783</v>
      </c>
      <c r="AM317" s="147">
        <f t="shared" ref="AM317:AM326" si="80">AJ317*AL317</f>
        <v>234900000</v>
      </c>
      <c r="AN317" s="147"/>
    </row>
    <row r="318" spans="7:40" ht="30">
      <c r="H318" s="9" t="s">
        <v>5536</v>
      </c>
      <c r="Q318" s="97"/>
      <c r="R318" s="93"/>
      <c r="T318" s="207" t="s">
        <v>5228</v>
      </c>
      <c r="U318" s="207">
        <v>1254</v>
      </c>
      <c r="V318" s="111">
        <v>558.24400000000003</v>
      </c>
      <c r="W318" s="111">
        <f t="shared" si="75"/>
        <v>700037.97600000002</v>
      </c>
      <c r="X318" s="36" t="s">
        <v>4409</v>
      </c>
      <c r="AH318" s="119">
        <v>32</v>
      </c>
      <c r="AI318" s="119" t="s">
        <v>4627</v>
      </c>
      <c r="AJ318" s="77">
        <v>288936</v>
      </c>
      <c r="AK318" s="119">
        <v>3</v>
      </c>
      <c r="AL318" s="119">
        <f t="shared" si="79"/>
        <v>783</v>
      </c>
      <c r="AM318" s="119">
        <f t="shared" si="80"/>
        <v>226236888</v>
      </c>
      <c r="AN318" s="201" t="s">
        <v>4638</v>
      </c>
    </row>
    <row r="319" spans="7:40">
      <c r="H319" s="9" t="s">
        <v>5537</v>
      </c>
      <c r="Q319" s="97"/>
      <c r="R319" s="93"/>
      <c r="S319" t="s">
        <v>25</v>
      </c>
      <c r="T319" s="166" t="s">
        <v>5228</v>
      </c>
      <c r="U319" s="207">
        <v>-358</v>
      </c>
      <c r="V319" s="111">
        <v>558.24400000000003</v>
      </c>
      <c r="W319" s="111">
        <f t="shared" si="75"/>
        <v>-199851.35200000001</v>
      </c>
      <c r="X319" s="36" t="s">
        <v>744</v>
      </c>
      <c r="Z319" t="s">
        <v>25</v>
      </c>
      <c r="AH319" s="119">
        <v>33</v>
      </c>
      <c r="AI319" s="119" t="s">
        <v>4636</v>
      </c>
      <c r="AJ319" s="77">
        <v>17962491</v>
      </c>
      <c r="AK319" s="119">
        <v>1</v>
      </c>
      <c r="AL319" s="119">
        <f t="shared" si="79"/>
        <v>780</v>
      </c>
      <c r="AM319" s="119">
        <f t="shared" si="80"/>
        <v>14010742980</v>
      </c>
      <c r="AN319" s="119" t="s">
        <v>4643</v>
      </c>
    </row>
    <row r="320" spans="7:40">
      <c r="H320" s="9" t="s">
        <v>5565</v>
      </c>
      <c r="Q320" s="97" t="s">
        <v>25</v>
      </c>
      <c r="R320" s="93"/>
      <c r="T320" s="187" t="s">
        <v>5247</v>
      </c>
      <c r="U320" s="187">
        <v>63259</v>
      </c>
      <c r="V320" s="186">
        <v>632.31960000000004</v>
      </c>
      <c r="W320" s="186">
        <f t="shared" si="75"/>
        <v>39999905.576400004</v>
      </c>
      <c r="X320" s="263" t="s">
        <v>1071</v>
      </c>
      <c r="AH320" s="119">
        <v>34</v>
      </c>
      <c r="AI320" s="119" t="s">
        <v>3668</v>
      </c>
      <c r="AJ320" s="77">
        <v>18363511</v>
      </c>
      <c r="AK320" s="119">
        <v>1</v>
      </c>
      <c r="AL320" s="119">
        <f t="shared" si="79"/>
        <v>779</v>
      </c>
      <c r="AM320" s="119">
        <f t="shared" si="80"/>
        <v>14305175069</v>
      </c>
      <c r="AN320" s="119" t="s">
        <v>4643</v>
      </c>
    </row>
    <row r="321" spans="8:44">
      <c r="H321" s="287"/>
      <c r="Q321" s="97"/>
      <c r="R321" s="93">
        <f>SUM(R260:R320)</f>
        <v>151716493.65841299</v>
      </c>
      <c r="T321" s="19" t="s">
        <v>5251</v>
      </c>
      <c r="U321" s="19">
        <v>-1278</v>
      </c>
      <c r="V321" s="115">
        <v>625.98</v>
      </c>
      <c r="W321" s="115">
        <f t="shared" si="75"/>
        <v>-800002.44000000006</v>
      </c>
      <c r="X321" s="264" t="s">
        <v>5252</v>
      </c>
      <c r="AH321" s="119">
        <v>35</v>
      </c>
      <c r="AI321" s="119" t="s">
        <v>4648</v>
      </c>
      <c r="AJ321" s="77">
        <v>23622417</v>
      </c>
      <c r="AK321" s="119">
        <v>5</v>
      </c>
      <c r="AL321" s="119">
        <f t="shared" si="79"/>
        <v>778</v>
      </c>
      <c r="AM321" s="119">
        <f t="shared" si="80"/>
        <v>18378240426</v>
      </c>
      <c r="AN321" s="119" t="s">
        <v>4650</v>
      </c>
    </row>
    <row r="322" spans="8:44">
      <c r="R322" s="97" t="s">
        <v>6</v>
      </c>
      <c r="T322" s="19" t="s">
        <v>5256</v>
      </c>
      <c r="U322" s="19">
        <v>32049</v>
      </c>
      <c r="V322" s="115">
        <v>624.04600000000005</v>
      </c>
      <c r="W322" s="115">
        <f t="shared" si="75"/>
        <v>20000050.254000001</v>
      </c>
      <c r="X322" s="264" t="s">
        <v>5121</v>
      </c>
      <c r="Z322" t="s">
        <v>25</v>
      </c>
      <c r="AH322" s="119">
        <v>36</v>
      </c>
      <c r="AI322" s="119" t="s">
        <v>4662</v>
      </c>
      <c r="AJ322" s="77">
        <v>82496108</v>
      </c>
      <c r="AK322" s="119">
        <v>1</v>
      </c>
      <c r="AL322" s="119">
        <f t="shared" si="79"/>
        <v>773</v>
      </c>
      <c r="AM322" s="119">
        <f t="shared" si="80"/>
        <v>63769491484</v>
      </c>
      <c r="AN322" s="119" t="s">
        <v>4665</v>
      </c>
    </row>
    <row r="323" spans="8:44" ht="30">
      <c r="R323" t="s">
        <v>25</v>
      </c>
      <c r="T323" s="19" t="s">
        <v>5263</v>
      </c>
      <c r="U323" s="19">
        <v>45094</v>
      </c>
      <c r="V323" s="115">
        <v>614.13559759999998</v>
      </c>
      <c r="W323" s="115">
        <f t="shared" si="75"/>
        <v>27693830.6381744</v>
      </c>
      <c r="X323" s="264" t="s">
        <v>5265</v>
      </c>
      <c r="Y323" t="s">
        <v>25</v>
      </c>
      <c r="AH323" s="119">
        <v>37</v>
      </c>
      <c r="AI323" s="119" t="s">
        <v>4664</v>
      </c>
      <c r="AJ323" s="77">
        <v>74657561</v>
      </c>
      <c r="AK323" s="119">
        <v>16</v>
      </c>
      <c r="AL323" s="119">
        <f t="shared" si="79"/>
        <v>772</v>
      </c>
      <c r="AM323" s="119">
        <f t="shared" si="80"/>
        <v>57635637092</v>
      </c>
      <c r="AN323" s="119" t="s">
        <v>4670</v>
      </c>
    </row>
    <row r="324" spans="8:44" ht="30">
      <c r="Q324" s="97" t="s">
        <v>452</v>
      </c>
      <c r="T324" s="19" t="s">
        <v>5290</v>
      </c>
      <c r="U324" s="19">
        <v>-11804</v>
      </c>
      <c r="V324" s="115">
        <v>762.46640000000002</v>
      </c>
      <c r="W324" s="115">
        <f t="shared" si="75"/>
        <v>-9000153.3856000006</v>
      </c>
      <c r="X324" s="264" t="s">
        <v>5292</v>
      </c>
      <c r="AH324" s="97">
        <v>38</v>
      </c>
      <c r="AI324" s="97" t="s">
        <v>4735</v>
      </c>
      <c r="AJ324" s="115">
        <v>665000</v>
      </c>
      <c r="AK324" s="97">
        <v>0</v>
      </c>
      <c r="AL324" s="97">
        <f t="shared" si="79"/>
        <v>756</v>
      </c>
      <c r="AM324" s="20">
        <f t="shared" si="80"/>
        <v>502740000</v>
      </c>
      <c r="AN324" s="97"/>
    </row>
    <row r="325" spans="8:44">
      <c r="Q325" s="97" t="s">
        <v>4402</v>
      </c>
      <c r="R325" s="97"/>
      <c r="T325" s="19" t="s">
        <v>5334</v>
      </c>
      <c r="U325" s="19">
        <v>844</v>
      </c>
      <c r="V325" s="115">
        <v>830</v>
      </c>
      <c r="W325" s="115">
        <f t="shared" si="75"/>
        <v>700520</v>
      </c>
      <c r="X325" s="264" t="s">
        <v>4409</v>
      </c>
      <c r="Y325" t="s">
        <v>25</v>
      </c>
      <c r="AH325" s="147">
        <v>39</v>
      </c>
      <c r="AI325" s="147" t="s">
        <v>4735</v>
      </c>
      <c r="AJ325" s="186">
        <v>665000</v>
      </c>
      <c r="AK325" s="147">
        <v>4</v>
      </c>
      <c r="AL325" s="192">
        <f t="shared" si="79"/>
        <v>756</v>
      </c>
      <c r="AM325" s="192">
        <f t="shared" si="80"/>
        <v>502740000</v>
      </c>
      <c r="AN325" s="192"/>
    </row>
    <row r="326" spans="8:44">
      <c r="Q326" s="97" t="s">
        <v>4448</v>
      </c>
      <c r="R326" s="93">
        <v>63115000</v>
      </c>
      <c r="T326" s="19" t="s">
        <v>5338</v>
      </c>
      <c r="U326" s="19">
        <v>8662</v>
      </c>
      <c r="V326" s="115">
        <v>832.57011999999997</v>
      </c>
      <c r="W326" s="115">
        <f t="shared" si="75"/>
        <v>7211722.3794399993</v>
      </c>
      <c r="X326" s="264" t="s">
        <v>5116</v>
      </c>
      <c r="Z326" t="s">
        <v>25</v>
      </c>
      <c r="AA326" t="s">
        <v>25</v>
      </c>
      <c r="AH326" s="20">
        <v>40</v>
      </c>
      <c r="AI326" s="20" t="s">
        <v>4744</v>
      </c>
      <c r="AJ326" s="115">
        <v>2000000</v>
      </c>
      <c r="AK326" s="20">
        <v>1</v>
      </c>
      <c r="AL326" s="97">
        <f t="shared" si="79"/>
        <v>752</v>
      </c>
      <c r="AM326" s="20">
        <f t="shared" si="80"/>
        <v>1504000000</v>
      </c>
      <c r="AN326" s="97"/>
    </row>
    <row r="327" spans="8:44" ht="30">
      <c r="Q327" s="97" t="s">
        <v>4456</v>
      </c>
      <c r="R327" s="93">
        <v>13300000</v>
      </c>
      <c r="T327" s="19" t="s">
        <v>5339</v>
      </c>
      <c r="U327" s="19">
        <v>10253</v>
      </c>
      <c r="V327" s="115">
        <v>827.2568</v>
      </c>
      <c r="W327" s="115">
        <f t="shared" si="75"/>
        <v>8481863.9704</v>
      </c>
      <c r="X327" s="264" t="s">
        <v>5342</v>
      </c>
      <c r="AH327" s="20">
        <v>41</v>
      </c>
      <c r="AI327" s="20" t="s">
        <v>4749</v>
      </c>
      <c r="AJ327" s="115">
        <v>-2060725</v>
      </c>
      <c r="AK327" s="20">
        <v>0</v>
      </c>
      <c r="AL327" s="97">
        <f t="shared" si="79"/>
        <v>751</v>
      </c>
      <c r="AM327" s="20">
        <f t="shared" ref="AM327:AM332" si="81">AJ327*AL327</f>
        <v>-1547604475</v>
      </c>
      <c r="AN327" s="97" t="s">
        <v>4750</v>
      </c>
    </row>
    <row r="328" spans="8:44">
      <c r="Q328" s="97" t="s">
        <v>4554</v>
      </c>
      <c r="R328" s="93">
        <v>2269000</v>
      </c>
      <c r="T328" s="232" t="s">
        <v>5343</v>
      </c>
      <c r="U328" s="232">
        <v>-33077</v>
      </c>
      <c r="V328" s="233">
        <v>786.02973999999995</v>
      </c>
      <c r="W328" s="233">
        <f t="shared" si="75"/>
        <v>-25999505.70998</v>
      </c>
      <c r="X328" s="272" t="s">
        <v>5346</v>
      </c>
      <c r="AH328" s="147">
        <v>42</v>
      </c>
      <c r="AI328" s="147" t="s">
        <v>4749</v>
      </c>
      <c r="AJ328" s="186">
        <v>-433375</v>
      </c>
      <c r="AK328" s="147">
        <v>0</v>
      </c>
      <c r="AL328" s="147">
        <f t="shared" si="79"/>
        <v>751</v>
      </c>
      <c r="AM328" s="147">
        <f t="shared" si="81"/>
        <v>-325464625</v>
      </c>
      <c r="AN328" s="147" t="s">
        <v>4751</v>
      </c>
    </row>
    <row r="329" spans="8:44">
      <c r="Q329" s="97" t="s">
        <v>4563</v>
      </c>
      <c r="R329" s="93">
        <v>25071612</v>
      </c>
      <c r="T329" s="19" t="s">
        <v>5343</v>
      </c>
      <c r="U329" s="19">
        <v>-33077</v>
      </c>
      <c r="V329" s="115">
        <v>786.02973999999995</v>
      </c>
      <c r="W329" s="115">
        <f t="shared" si="75"/>
        <v>-25999505.70998</v>
      </c>
      <c r="X329" s="264" t="s">
        <v>5347</v>
      </c>
      <c r="Y329" t="s">
        <v>25</v>
      </c>
      <c r="AH329" s="20">
        <v>43</v>
      </c>
      <c r="AI329" s="20" t="s">
        <v>4749</v>
      </c>
      <c r="AJ329" s="115">
        <v>28000000</v>
      </c>
      <c r="AK329" s="20">
        <v>1</v>
      </c>
      <c r="AL329" s="97">
        <f t="shared" si="79"/>
        <v>751</v>
      </c>
      <c r="AM329" s="20">
        <f t="shared" si="81"/>
        <v>21028000000</v>
      </c>
      <c r="AN329" s="97" t="s">
        <v>3875</v>
      </c>
    </row>
    <row r="330" spans="8:44">
      <c r="Q330" s="97" t="s">
        <v>4564</v>
      </c>
      <c r="R330" s="93">
        <v>42236984</v>
      </c>
      <c r="T330" s="19" t="s">
        <v>5343</v>
      </c>
      <c r="U330" s="19">
        <v>1983</v>
      </c>
      <c r="V330" s="115">
        <v>786.02973999999995</v>
      </c>
      <c r="W330" s="115">
        <f t="shared" si="75"/>
        <v>1558696.9744199999</v>
      </c>
      <c r="X330" s="264" t="s">
        <v>5116</v>
      </c>
      <c r="AH330" s="20">
        <v>44</v>
      </c>
      <c r="AI330" s="20" t="s">
        <v>4758</v>
      </c>
      <c r="AJ330" s="115">
        <v>160000</v>
      </c>
      <c r="AK330" s="20">
        <v>0</v>
      </c>
      <c r="AL330" s="97">
        <f t="shared" si="79"/>
        <v>750</v>
      </c>
      <c r="AM330" s="20">
        <f t="shared" si="81"/>
        <v>120000000</v>
      </c>
      <c r="AN330" s="97"/>
    </row>
    <row r="331" spans="8:44">
      <c r="Q331" s="97" t="s">
        <v>4585</v>
      </c>
      <c r="R331" s="93">
        <v>19663646</v>
      </c>
      <c r="T331" s="232" t="s">
        <v>5348</v>
      </c>
      <c r="U331" s="232">
        <v>-119753</v>
      </c>
      <c r="V331" s="233">
        <v>800.81560000000002</v>
      </c>
      <c r="W331" s="233">
        <f t="shared" si="75"/>
        <v>-95900070.546800002</v>
      </c>
      <c r="X331" s="272" t="s">
        <v>5346</v>
      </c>
      <c r="AH331" s="147">
        <v>45</v>
      </c>
      <c r="AI331" s="147" t="s">
        <v>4758</v>
      </c>
      <c r="AJ331" s="186">
        <v>70000</v>
      </c>
      <c r="AK331" s="147">
        <v>9</v>
      </c>
      <c r="AL331" s="147">
        <f t="shared" si="79"/>
        <v>750</v>
      </c>
      <c r="AM331" s="147">
        <f t="shared" si="81"/>
        <v>52500000</v>
      </c>
      <c r="AN331" s="147"/>
    </row>
    <row r="332" spans="8:44">
      <c r="Q332" s="97" t="s">
        <v>4596</v>
      </c>
      <c r="R332" s="93">
        <v>4374525</v>
      </c>
      <c r="T332" s="19" t="s">
        <v>5348</v>
      </c>
      <c r="U332" s="19">
        <v>-119753</v>
      </c>
      <c r="V332" s="115">
        <v>800.81560000000002</v>
      </c>
      <c r="W332" s="115">
        <f t="shared" si="75"/>
        <v>-95900070.546800002</v>
      </c>
      <c r="X332" s="264" t="s">
        <v>5347</v>
      </c>
      <c r="AA332" t="s">
        <v>25</v>
      </c>
      <c r="AH332" s="20">
        <v>46</v>
      </c>
      <c r="AI332" s="20" t="s">
        <v>4765</v>
      </c>
      <c r="AJ332" s="115">
        <v>850000</v>
      </c>
      <c r="AK332" s="20">
        <v>0</v>
      </c>
      <c r="AL332" s="97">
        <f t="shared" si="79"/>
        <v>741</v>
      </c>
      <c r="AM332" s="20">
        <f t="shared" si="81"/>
        <v>629850000</v>
      </c>
      <c r="AN332" s="97"/>
      <c r="AR332" t="s">
        <v>25</v>
      </c>
    </row>
    <row r="333" spans="8:44">
      <c r="Q333" s="97" t="s">
        <v>4598</v>
      </c>
      <c r="R333" s="93">
        <v>6550580</v>
      </c>
      <c r="T333" s="19" t="s">
        <v>5348</v>
      </c>
      <c r="U333" s="19">
        <v>11291</v>
      </c>
      <c r="V333" s="115">
        <v>800.81560000000002</v>
      </c>
      <c r="W333" s="115">
        <f t="shared" si="75"/>
        <v>9042008.9396000002</v>
      </c>
      <c r="X333" s="264" t="s">
        <v>452</v>
      </c>
      <c r="AH333" s="192">
        <v>47</v>
      </c>
      <c r="AI333" s="192" t="s">
        <v>4765</v>
      </c>
      <c r="AJ333" s="193">
        <v>20000</v>
      </c>
      <c r="AK333" s="192">
        <v>4</v>
      </c>
      <c r="AL333" s="192">
        <f t="shared" ref="AL333:AL341" si="82">AK333+AL334</f>
        <v>741</v>
      </c>
      <c r="AM333" s="192">
        <f t="shared" ref="AM333:AM341" si="83">AJ333*AL333</f>
        <v>14820000</v>
      </c>
      <c r="AN333" s="192"/>
    </row>
    <row r="334" spans="8:44">
      <c r="Q334" s="97" t="s">
        <v>4614</v>
      </c>
      <c r="R334" s="93">
        <v>7054895</v>
      </c>
      <c r="T334" s="187" t="s">
        <v>5349</v>
      </c>
      <c r="U334" s="187">
        <v>-35361</v>
      </c>
      <c r="V334" s="186">
        <v>818.697</v>
      </c>
      <c r="W334" s="186">
        <f t="shared" si="75"/>
        <v>-28949944.616999999</v>
      </c>
      <c r="X334" s="263" t="s">
        <v>5346</v>
      </c>
      <c r="Y334" t="s">
        <v>25</v>
      </c>
      <c r="AH334" s="192">
        <v>48</v>
      </c>
      <c r="AI334" s="192" t="s">
        <v>4778</v>
      </c>
      <c r="AJ334" s="193">
        <v>30000000</v>
      </c>
      <c r="AK334" s="192">
        <v>27</v>
      </c>
      <c r="AL334" s="192">
        <f t="shared" si="82"/>
        <v>737</v>
      </c>
      <c r="AM334" s="192">
        <f t="shared" si="83"/>
        <v>22110000000</v>
      </c>
      <c r="AN334" s="192" t="s">
        <v>4779</v>
      </c>
    </row>
    <row r="335" spans="8:44">
      <c r="Q335" s="97" t="s">
        <v>4625</v>
      </c>
      <c r="R335" s="93">
        <v>2145814</v>
      </c>
      <c r="S335" s="112"/>
      <c r="T335" s="19" t="s">
        <v>5349</v>
      </c>
      <c r="U335" s="19">
        <v>-35361</v>
      </c>
      <c r="V335" s="115">
        <v>818.697</v>
      </c>
      <c r="W335" s="115">
        <f t="shared" si="75"/>
        <v>-28949944.616999999</v>
      </c>
      <c r="X335" s="264" t="s">
        <v>5347</v>
      </c>
      <c r="Y335" t="s">
        <v>25</v>
      </c>
      <c r="Z335" t="s">
        <v>25</v>
      </c>
      <c r="AH335" s="20">
        <v>49</v>
      </c>
      <c r="AI335" s="20" t="s">
        <v>4851</v>
      </c>
      <c r="AJ335" s="115">
        <v>1100000</v>
      </c>
      <c r="AK335" s="20">
        <v>1</v>
      </c>
      <c r="AL335" s="20">
        <f t="shared" si="82"/>
        <v>710</v>
      </c>
      <c r="AM335" s="20">
        <f t="shared" si="83"/>
        <v>781000000</v>
      </c>
      <c r="AN335" s="20"/>
    </row>
    <row r="336" spans="8:44">
      <c r="Q336" s="97" t="s">
        <v>4627</v>
      </c>
      <c r="R336" s="93">
        <v>4369730</v>
      </c>
      <c r="T336" s="19" t="s">
        <v>5349</v>
      </c>
      <c r="U336" s="19">
        <v>116</v>
      </c>
      <c r="V336" s="115">
        <v>818.697</v>
      </c>
      <c r="W336" s="115">
        <f t="shared" si="75"/>
        <v>94968.851999999999</v>
      </c>
      <c r="X336" s="264" t="s">
        <v>5116</v>
      </c>
      <c r="AA336" t="s">
        <v>25</v>
      </c>
      <c r="AH336" s="20">
        <v>50</v>
      </c>
      <c r="AI336" s="20" t="s">
        <v>4852</v>
      </c>
      <c r="AJ336" s="115">
        <v>450000</v>
      </c>
      <c r="AK336" s="20">
        <v>0</v>
      </c>
      <c r="AL336" s="20">
        <f t="shared" si="82"/>
        <v>709</v>
      </c>
      <c r="AM336" s="20">
        <f t="shared" si="83"/>
        <v>319050000</v>
      </c>
      <c r="AN336" s="20"/>
      <c r="AR336" t="s">
        <v>25</v>
      </c>
    </row>
    <row r="337" spans="17:46">
      <c r="Q337" s="97" t="s">
        <v>4636</v>
      </c>
      <c r="R337" s="93">
        <v>8739459</v>
      </c>
      <c r="T337" s="19" t="s">
        <v>5353</v>
      </c>
      <c r="U337" s="19">
        <v>48633</v>
      </c>
      <c r="V337" s="115">
        <v>822.47199999999998</v>
      </c>
      <c r="W337" s="115">
        <f t="shared" si="75"/>
        <v>39999280.776000001</v>
      </c>
      <c r="X337" s="264" t="s">
        <v>5356</v>
      </c>
      <c r="AH337" s="147">
        <v>51</v>
      </c>
      <c r="AI337" s="147" t="s">
        <v>4852</v>
      </c>
      <c r="AJ337" s="186">
        <v>550000</v>
      </c>
      <c r="AK337" s="147">
        <v>1</v>
      </c>
      <c r="AL337" s="147">
        <f t="shared" si="82"/>
        <v>709</v>
      </c>
      <c r="AM337" s="147">
        <f t="shared" si="83"/>
        <v>389950000</v>
      </c>
      <c r="AN337" s="147"/>
      <c r="AS337" t="s">
        <v>25</v>
      </c>
    </row>
    <row r="338" spans="17:46">
      <c r="Q338" s="97" t="s">
        <v>3668</v>
      </c>
      <c r="R338" s="93">
        <v>6667654</v>
      </c>
      <c r="T338" s="19" t="s">
        <v>5353</v>
      </c>
      <c r="U338" s="19">
        <v>3412</v>
      </c>
      <c r="V338" s="115">
        <v>822.47199999999998</v>
      </c>
      <c r="W338" s="115">
        <f t="shared" si="75"/>
        <v>2806274.4640000002</v>
      </c>
      <c r="X338" s="264" t="s">
        <v>5358</v>
      </c>
      <c r="AH338" s="147">
        <v>52</v>
      </c>
      <c r="AI338" s="147" t="s">
        <v>4854</v>
      </c>
      <c r="AJ338" s="186">
        <v>1000000</v>
      </c>
      <c r="AK338" s="147">
        <v>8</v>
      </c>
      <c r="AL338" s="147">
        <f t="shared" si="82"/>
        <v>708</v>
      </c>
      <c r="AM338" s="147">
        <f t="shared" si="83"/>
        <v>708000000</v>
      </c>
      <c r="AN338" s="147"/>
      <c r="AR338" t="s">
        <v>25</v>
      </c>
      <c r="AT338" s="94" t="s">
        <v>25</v>
      </c>
    </row>
    <row r="339" spans="17:46">
      <c r="Q339" s="97" t="s">
        <v>4648</v>
      </c>
      <c r="R339" s="93">
        <v>8981245</v>
      </c>
      <c r="T339" s="19" t="s">
        <v>5354</v>
      </c>
      <c r="U339" s="19">
        <v>1531</v>
      </c>
      <c r="V339" s="115">
        <v>869.82500000000005</v>
      </c>
      <c r="W339" s="115">
        <f t="shared" si="75"/>
        <v>1331702.075</v>
      </c>
      <c r="X339" s="264" t="s">
        <v>5359</v>
      </c>
      <c r="AH339" s="20">
        <v>53</v>
      </c>
      <c r="AI339" s="20" t="s">
        <v>4863</v>
      </c>
      <c r="AJ339" s="115">
        <v>-2668880</v>
      </c>
      <c r="AK339" s="20">
        <v>0</v>
      </c>
      <c r="AL339" s="20">
        <f t="shared" si="82"/>
        <v>700</v>
      </c>
      <c r="AM339" s="20">
        <f t="shared" si="83"/>
        <v>-1868216000</v>
      </c>
      <c r="AN339" s="20" t="s">
        <v>4865</v>
      </c>
      <c r="AS339" t="s">
        <v>25</v>
      </c>
    </row>
    <row r="340" spans="17:46">
      <c r="Q340" s="97" t="s">
        <v>4651</v>
      </c>
      <c r="R340" s="93">
        <v>9181756</v>
      </c>
      <c r="T340" s="19" t="s">
        <v>5362</v>
      </c>
      <c r="U340" s="19">
        <v>1019</v>
      </c>
      <c r="V340" s="115">
        <v>835.36580000000004</v>
      </c>
      <c r="W340" s="115">
        <f t="shared" si="75"/>
        <v>851237.75020000001</v>
      </c>
      <c r="X340" s="264" t="s">
        <v>452</v>
      </c>
      <c r="AH340" s="147">
        <v>54</v>
      </c>
      <c r="AI340" s="147" t="s">
        <v>4863</v>
      </c>
      <c r="AJ340" s="186">
        <v>-1528620</v>
      </c>
      <c r="AK340" s="147">
        <v>0</v>
      </c>
      <c r="AL340" s="147">
        <f t="shared" si="82"/>
        <v>700</v>
      </c>
      <c r="AM340" s="147">
        <f t="shared" si="83"/>
        <v>-1070034000</v>
      </c>
      <c r="AN340" s="147" t="s">
        <v>4865</v>
      </c>
    </row>
    <row r="341" spans="17:46">
      <c r="Q341" s="97" t="s">
        <v>4664</v>
      </c>
      <c r="R341" s="93">
        <v>11811208</v>
      </c>
      <c r="T341" s="187" t="s">
        <v>5368</v>
      </c>
      <c r="U341" s="187">
        <v>2316</v>
      </c>
      <c r="V341" s="186">
        <v>818.697</v>
      </c>
      <c r="W341" s="186">
        <f t="shared" si="75"/>
        <v>1896102.2520000001</v>
      </c>
      <c r="X341" s="263" t="s">
        <v>5371</v>
      </c>
      <c r="AH341" s="20">
        <v>55</v>
      </c>
      <c r="AI341" s="20" t="s">
        <v>4863</v>
      </c>
      <c r="AJ341" s="115">
        <v>50000000</v>
      </c>
      <c r="AK341" s="20">
        <v>4</v>
      </c>
      <c r="AL341" s="20">
        <f t="shared" si="82"/>
        <v>700</v>
      </c>
      <c r="AM341" s="20">
        <f t="shared" si="83"/>
        <v>35000000000</v>
      </c>
      <c r="AN341" s="20"/>
    </row>
    <row r="342" spans="17:46">
      <c r="Q342" s="97" t="s">
        <v>4671</v>
      </c>
      <c r="R342" s="93">
        <v>41248054</v>
      </c>
      <c r="T342" s="19" t="s">
        <v>5374</v>
      </c>
      <c r="U342" s="19">
        <v>315</v>
      </c>
      <c r="V342" s="115">
        <v>680</v>
      </c>
      <c r="W342" s="115">
        <f t="shared" si="75"/>
        <v>214200</v>
      </c>
      <c r="X342" s="264" t="s">
        <v>5116</v>
      </c>
      <c r="AH342" s="20">
        <v>56</v>
      </c>
      <c r="AI342" s="20" t="s">
        <v>4869</v>
      </c>
      <c r="AJ342" s="115">
        <v>400000</v>
      </c>
      <c r="AK342" s="20">
        <v>4</v>
      </c>
      <c r="AL342" s="20">
        <f t="shared" ref="AL342:AL351" si="84">AK342+AL343</f>
        <v>696</v>
      </c>
      <c r="AM342" s="20">
        <f t="shared" ref="AM342:AM351" si="85">AJ342*AL342</f>
        <v>278400000</v>
      </c>
      <c r="AN342" s="20"/>
    </row>
    <row r="343" spans="17:46">
      <c r="Q343" s="97" t="s">
        <v>4677</v>
      </c>
      <c r="R343" s="93">
        <v>37328780</v>
      </c>
      <c r="T343" s="19" t="s">
        <v>5396</v>
      </c>
      <c r="U343" s="19">
        <v>832</v>
      </c>
      <c r="V343" s="115">
        <v>784.36500000000001</v>
      </c>
      <c r="W343" s="115">
        <f t="shared" si="75"/>
        <v>652591.68000000005</v>
      </c>
      <c r="X343" s="264" t="s">
        <v>5116</v>
      </c>
      <c r="Y343" t="s">
        <v>25</v>
      </c>
      <c r="AH343" s="20">
        <v>57</v>
      </c>
      <c r="AI343" s="20" t="s">
        <v>4878</v>
      </c>
      <c r="AJ343" s="115">
        <v>2000000</v>
      </c>
      <c r="AK343" s="20">
        <v>3</v>
      </c>
      <c r="AL343" s="20">
        <f t="shared" si="84"/>
        <v>692</v>
      </c>
      <c r="AM343" s="20">
        <f t="shared" si="85"/>
        <v>1384000000</v>
      </c>
      <c r="AN343" s="20"/>
    </row>
    <row r="344" spans="17:46">
      <c r="Q344" s="97" t="s">
        <v>4735</v>
      </c>
      <c r="R344" s="93">
        <v>50000000</v>
      </c>
      <c r="T344" s="19" t="s">
        <v>5441</v>
      </c>
      <c r="U344" s="19">
        <v>382</v>
      </c>
      <c r="V344" s="115">
        <v>1450.6065000000001</v>
      </c>
      <c r="W344" s="115">
        <f t="shared" si="75"/>
        <v>554131.68300000008</v>
      </c>
      <c r="X344" s="264" t="s">
        <v>5116</v>
      </c>
      <c r="Y344" t="s">
        <v>25</v>
      </c>
      <c r="AH344" s="20">
        <v>58</v>
      </c>
      <c r="AI344" s="20" t="s">
        <v>4881</v>
      </c>
      <c r="AJ344" s="115">
        <v>100000</v>
      </c>
      <c r="AK344" s="20">
        <v>4</v>
      </c>
      <c r="AL344" s="20">
        <f t="shared" si="84"/>
        <v>689</v>
      </c>
      <c r="AM344" s="20">
        <f t="shared" si="85"/>
        <v>68900000</v>
      </c>
      <c r="AN344" s="20" t="s">
        <v>3875</v>
      </c>
    </row>
    <row r="345" spans="17:46">
      <c r="Q345" s="97" t="s">
        <v>4744</v>
      </c>
      <c r="R345" s="93">
        <v>68656</v>
      </c>
      <c r="T345" s="19" t="s">
        <v>5442</v>
      </c>
      <c r="U345" s="19">
        <v>50047</v>
      </c>
      <c r="V345" s="115">
        <v>1406.14</v>
      </c>
      <c r="W345" s="115">
        <f t="shared" si="75"/>
        <v>70373088.579999998</v>
      </c>
      <c r="X345" s="264" t="s">
        <v>5116</v>
      </c>
      <c r="Z345" t="s">
        <v>25</v>
      </c>
      <c r="AH345" s="20">
        <v>59</v>
      </c>
      <c r="AI345" s="20" t="s">
        <v>4888</v>
      </c>
      <c r="AJ345" s="115">
        <v>100000</v>
      </c>
      <c r="AK345" s="20">
        <v>7</v>
      </c>
      <c r="AL345" s="20">
        <f t="shared" si="84"/>
        <v>685</v>
      </c>
      <c r="AM345" s="20">
        <f t="shared" si="85"/>
        <v>68500000</v>
      </c>
      <c r="AN345" s="20"/>
    </row>
    <row r="346" spans="17:46">
      <c r="Q346" s="97" t="s">
        <v>4744</v>
      </c>
      <c r="R346" s="93">
        <v>4000236</v>
      </c>
      <c r="T346" s="19" t="s">
        <v>5443</v>
      </c>
      <c r="U346" s="19">
        <v>846</v>
      </c>
      <c r="V346" s="115">
        <v>1441.6724569999999</v>
      </c>
      <c r="W346" s="115">
        <f t="shared" si="75"/>
        <v>1219654.8986219999</v>
      </c>
      <c r="X346" s="264" t="s">
        <v>5116</v>
      </c>
      <c r="Y346" t="s">
        <v>25</v>
      </c>
      <c r="Z346" t="s">
        <v>25</v>
      </c>
      <c r="AH346" s="20">
        <v>60</v>
      </c>
      <c r="AI346" s="20" t="s">
        <v>4901</v>
      </c>
      <c r="AJ346" s="115">
        <v>50000</v>
      </c>
      <c r="AK346" s="20">
        <v>0</v>
      </c>
      <c r="AL346" s="20">
        <f t="shared" si="84"/>
        <v>678</v>
      </c>
      <c r="AM346" s="20">
        <f t="shared" si="85"/>
        <v>33900000</v>
      </c>
      <c r="AN346" s="20"/>
    </row>
    <row r="347" spans="17:46">
      <c r="Q347" s="97" t="s">
        <v>4749</v>
      </c>
      <c r="R347" s="93">
        <v>2250000</v>
      </c>
      <c r="T347" s="19" t="s">
        <v>5444</v>
      </c>
      <c r="U347" s="19">
        <v>10573</v>
      </c>
      <c r="V347" s="115">
        <v>1451.825</v>
      </c>
      <c r="W347" s="115">
        <f t="shared" si="75"/>
        <v>15350145.725</v>
      </c>
      <c r="X347" s="264" t="s">
        <v>5116</v>
      </c>
      <c r="Y347" t="s">
        <v>25</v>
      </c>
      <c r="AH347" s="147">
        <v>61</v>
      </c>
      <c r="AI347" s="147" t="s">
        <v>4901</v>
      </c>
      <c r="AJ347" s="186">
        <v>50000</v>
      </c>
      <c r="AK347" s="147">
        <v>3</v>
      </c>
      <c r="AL347" s="147">
        <f t="shared" si="84"/>
        <v>678</v>
      </c>
      <c r="AM347" s="147">
        <f t="shared" si="85"/>
        <v>33900000</v>
      </c>
      <c r="AN347" s="147"/>
    </row>
    <row r="348" spans="17:46" ht="30">
      <c r="Q348" s="97" t="s">
        <v>4758</v>
      </c>
      <c r="R348" s="93">
        <v>-2512200</v>
      </c>
      <c r="T348" s="19" t="s">
        <v>5445</v>
      </c>
      <c r="U348" s="19">
        <v>85</v>
      </c>
      <c r="V348" s="115">
        <v>1423.74</v>
      </c>
      <c r="W348" s="115">
        <f t="shared" si="75"/>
        <v>121017.9</v>
      </c>
      <c r="X348" s="264" t="s">
        <v>5446</v>
      </c>
      <c r="Y348" t="s">
        <v>25</v>
      </c>
      <c r="AH348" s="20">
        <v>62</v>
      </c>
      <c r="AI348" s="20" t="s">
        <v>4904</v>
      </c>
      <c r="AJ348" s="115">
        <v>50000</v>
      </c>
      <c r="AK348" s="20">
        <v>0</v>
      </c>
      <c r="AL348" s="20">
        <f t="shared" si="84"/>
        <v>675</v>
      </c>
      <c r="AM348" s="20">
        <f t="shared" si="85"/>
        <v>33750000</v>
      </c>
      <c r="AN348" s="20"/>
    </row>
    <row r="349" spans="17:46" ht="30">
      <c r="Q349" s="97" t="s">
        <v>966</v>
      </c>
      <c r="R349" s="93">
        <v>300000</v>
      </c>
      <c r="T349" s="19" t="s">
        <v>5449</v>
      </c>
      <c r="U349" s="19">
        <v>738</v>
      </c>
      <c r="V349" s="115">
        <v>1388.87895</v>
      </c>
      <c r="W349" s="115">
        <f t="shared" si="75"/>
        <v>1024992.6651</v>
      </c>
      <c r="X349" s="264" t="s">
        <v>5457</v>
      </c>
      <c r="Y349" t="s">
        <v>25</v>
      </c>
      <c r="AA349" t="s">
        <v>25</v>
      </c>
      <c r="AH349" s="192">
        <v>63</v>
      </c>
      <c r="AI349" s="192" t="s">
        <v>4904</v>
      </c>
      <c r="AJ349" s="193">
        <v>50000</v>
      </c>
      <c r="AK349" s="192">
        <v>2</v>
      </c>
      <c r="AL349" s="192">
        <f t="shared" si="84"/>
        <v>675</v>
      </c>
      <c r="AM349" s="192">
        <f t="shared" si="85"/>
        <v>33750000</v>
      </c>
      <c r="AN349" s="192"/>
    </row>
    <row r="350" spans="17:46">
      <c r="Q350" s="97" t="s">
        <v>4765</v>
      </c>
      <c r="R350" s="93">
        <v>1100000</v>
      </c>
      <c r="T350" s="19" t="s">
        <v>5465</v>
      </c>
      <c r="U350" s="19">
        <v>1442</v>
      </c>
      <c r="V350" s="115">
        <v>1350.9547279999999</v>
      </c>
      <c r="W350" s="115">
        <f t="shared" si="75"/>
        <v>1948076.7177759998</v>
      </c>
      <c r="X350" s="264" t="s">
        <v>5116</v>
      </c>
      <c r="AH350" s="20">
        <v>64</v>
      </c>
      <c r="AI350" s="20" t="s">
        <v>4911</v>
      </c>
      <c r="AJ350" s="115">
        <v>25000</v>
      </c>
      <c r="AK350" s="20">
        <v>0</v>
      </c>
      <c r="AL350" s="20">
        <f t="shared" si="84"/>
        <v>673</v>
      </c>
      <c r="AM350" s="20">
        <f t="shared" si="85"/>
        <v>16825000</v>
      </c>
      <c r="AN350" s="20"/>
    </row>
    <row r="351" spans="17:46">
      <c r="Q351" s="97" t="s">
        <v>4785</v>
      </c>
      <c r="R351" s="93">
        <v>890000</v>
      </c>
      <c r="T351" s="19" t="s">
        <v>5466</v>
      </c>
      <c r="U351" s="19">
        <v>36847</v>
      </c>
      <c r="V351" s="115">
        <v>1356.9658300000001</v>
      </c>
      <c r="W351" s="115">
        <f t="shared" si="75"/>
        <v>50000119.938010007</v>
      </c>
      <c r="X351" s="264" t="s">
        <v>5121</v>
      </c>
      <c r="AA351" t="s">
        <v>25</v>
      </c>
      <c r="AH351" s="147">
        <v>65</v>
      </c>
      <c r="AI351" s="147" t="s">
        <v>4911</v>
      </c>
      <c r="AJ351" s="186">
        <v>35000</v>
      </c>
      <c r="AK351" s="147">
        <v>7</v>
      </c>
      <c r="AL351" s="147">
        <f t="shared" si="84"/>
        <v>673</v>
      </c>
      <c r="AM351" s="147">
        <f t="shared" si="85"/>
        <v>23555000</v>
      </c>
      <c r="AN351" s="147"/>
    </row>
    <row r="352" spans="17:46" ht="30">
      <c r="Q352" s="97" t="s">
        <v>4786</v>
      </c>
      <c r="R352" s="93">
        <v>1000000</v>
      </c>
      <c r="T352" s="19" t="s">
        <v>5467</v>
      </c>
      <c r="U352" s="19">
        <v>13738</v>
      </c>
      <c r="V352" s="115">
        <v>1455.82</v>
      </c>
      <c r="W352" s="115">
        <f t="shared" si="75"/>
        <v>20000055.16</v>
      </c>
      <c r="X352" s="264" t="s">
        <v>5484</v>
      </c>
      <c r="Y352" t="s">
        <v>25</v>
      </c>
      <c r="AH352" s="147">
        <v>66</v>
      </c>
      <c r="AI352" s="147" t="s">
        <v>4919</v>
      </c>
      <c r="AJ352" s="186">
        <v>30000000</v>
      </c>
      <c r="AK352" s="147">
        <v>0</v>
      </c>
      <c r="AL352" s="147">
        <f t="shared" ref="AL352:AL371" si="86">AK352+AL353</f>
        <v>666</v>
      </c>
      <c r="AM352" s="147">
        <f t="shared" ref="AM352:AM371" si="87">AJ352*AL352</f>
        <v>19980000000</v>
      </c>
      <c r="AN352" s="147"/>
    </row>
    <row r="353" spans="17:45">
      <c r="Q353" s="97" t="s">
        <v>4786</v>
      </c>
      <c r="R353" s="93">
        <v>45436311</v>
      </c>
      <c r="T353" s="19" t="s">
        <v>5492</v>
      </c>
      <c r="U353" s="19">
        <v>3100</v>
      </c>
      <c r="V353" s="115">
        <v>1853.4507470000001</v>
      </c>
      <c r="W353" s="115">
        <f t="shared" si="75"/>
        <v>5745697.3157000002</v>
      </c>
      <c r="X353" s="264" t="s">
        <v>5116</v>
      </c>
      <c r="Y353" t="s">
        <v>25</v>
      </c>
      <c r="AH353" s="20">
        <v>67</v>
      </c>
      <c r="AI353" s="20" t="s">
        <v>4919</v>
      </c>
      <c r="AJ353" s="115">
        <v>6800000</v>
      </c>
      <c r="AK353" s="20">
        <v>1</v>
      </c>
      <c r="AL353" s="20">
        <f t="shared" si="86"/>
        <v>666</v>
      </c>
      <c r="AM353" s="20">
        <f t="shared" si="87"/>
        <v>4528800000</v>
      </c>
      <c r="AN353" s="20"/>
    </row>
    <row r="354" spans="17:45">
      <c r="Q354" s="97" t="s">
        <v>4798</v>
      </c>
      <c r="R354" s="93">
        <v>-3500000</v>
      </c>
      <c r="T354" s="19" t="s">
        <v>5493</v>
      </c>
      <c r="U354" s="19">
        <v>480</v>
      </c>
      <c r="V354" s="115">
        <v>1891.9962069999999</v>
      </c>
      <c r="W354" s="115">
        <f t="shared" si="75"/>
        <v>908158.17935999995</v>
      </c>
      <c r="X354" s="264" t="s">
        <v>5116</v>
      </c>
      <c r="Y354" t="s">
        <v>25</v>
      </c>
      <c r="AH354" s="20">
        <v>68</v>
      </c>
      <c r="AI354" s="20" t="s">
        <v>4922</v>
      </c>
      <c r="AJ354" s="115">
        <v>500000</v>
      </c>
      <c r="AK354" s="20">
        <v>1</v>
      </c>
      <c r="AL354" s="20">
        <f t="shared" si="86"/>
        <v>665</v>
      </c>
      <c r="AM354" s="20">
        <f t="shared" si="87"/>
        <v>332500000</v>
      </c>
      <c r="AN354" s="20"/>
    </row>
    <row r="355" spans="17:45">
      <c r="Q355" s="97" t="s">
        <v>4833</v>
      </c>
      <c r="R355" s="93">
        <v>2520000</v>
      </c>
      <c r="T355" s="19" t="s">
        <v>5494</v>
      </c>
      <c r="U355" s="19">
        <v>6522</v>
      </c>
      <c r="V355" s="115">
        <v>1938.4694340000001</v>
      </c>
      <c r="W355" s="115">
        <f t="shared" si="75"/>
        <v>12642697.648548001</v>
      </c>
      <c r="X355" s="264" t="s">
        <v>5116</v>
      </c>
      <c r="AA355" t="s">
        <v>25</v>
      </c>
      <c r="AH355" s="20">
        <v>69</v>
      </c>
      <c r="AI355" s="20" t="s">
        <v>4928</v>
      </c>
      <c r="AJ355" s="115">
        <v>850000</v>
      </c>
      <c r="AK355" s="20">
        <v>5</v>
      </c>
      <c r="AL355" s="20">
        <f t="shared" si="86"/>
        <v>664</v>
      </c>
      <c r="AM355" s="20">
        <f t="shared" si="87"/>
        <v>564400000</v>
      </c>
      <c r="AN355" s="20"/>
    </row>
    <row r="356" spans="17:45">
      <c r="Q356" s="97" t="s">
        <v>4851</v>
      </c>
      <c r="R356" s="93">
        <v>4900000</v>
      </c>
      <c r="T356" s="19" t="s">
        <v>5495</v>
      </c>
      <c r="U356" s="19">
        <v>6197</v>
      </c>
      <c r="V356" s="115">
        <v>1984.3985499999999</v>
      </c>
      <c r="W356" s="115">
        <f t="shared" si="75"/>
        <v>12297317.81435</v>
      </c>
      <c r="X356" s="264" t="s">
        <v>5116</v>
      </c>
      <c r="AA356" t="s">
        <v>25</v>
      </c>
      <c r="AH356" s="20">
        <v>70</v>
      </c>
      <c r="AI356" s="20" t="s">
        <v>4936</v>
      </c>
      <c r="AJ356" s="115">
        <v>1130250</v>
      </c>
      <c r="AK356" s="20">
        <v>0</v>
      </c>
      <c r="AL356" s="20">
        <f t="shared" si="86"/>
        <v>659</v>
      </c>
      <c r="AM356" s="20">
        <f t="shared" si="87"/>
        <v>744834750</v>
      </c>
      <c r="AN356" s="20"/>
    </row>
    <row r="357" spans="17:45">
      <c r="Q357" s="97" t="s">
        <v>4805</v>
      </c>
      <c r="R357" s="93">
        <v>1150000</v>
      </c>
      <c r="T357" s="19" t="s">
        <v>5496</v>
      </c>
      <c r="U357" s="19">
        <v>4646</v>
      </c>
      <c r="V357" s="115">
        <v>1928.464023</v>
      </c>
      <c r="W357" s="115">
        <f t="shared" si="75"/>
        <v>8959643.8508579992</v>
      </c>
      <c r="X357" s="264" t="s">
        <v>5116</v>
      </c>
      <c r="Z357" t="s">
        <v>25</v>
      </c>
      <c r="AH357" s="242">
        <v>71</v>
      </c>
      <c r="AI357" s="242" t="s">
        <v>4936</v>
      </c>
      <c r="AJ357" s="233">
        <v>30000</v>
      </c>
      <c r="AK357" s="242">
        <v>5</v>
      </c>
      <c r="AL357" s="242">
        <f t="shared" si="86"/>
        <v>659</v>
      </c>
      <c r="AM357" s="242">
        <f t="shared" si="87"/>
        <v>19770000</v>
      </c>
      <c r="AN357" s="242"/>
    </row>
    <row r="358" spans="17:45" ht="18" customHeight="1">
      <c r="Q358" s="97" t="s">
        <v>4885</v>
      </c>
      <c r="R358" s="93">
        <v>250000</v>
      </c>
      <c r="T358" s="19" t="s">
        <v>5497</v>
      </c>
      <c r="U358" s="19">
        <v>7668</v>
      </c>
      <c r="V358" s="115">
        <v>1976.2774959999999</v>
      </c>
      <c r="W358" s="115">
        <f t="shared" si="75"/>
        <v>15154095.839328</v>
      </c>
      <c r="X358" s="264" t="s">
        <v>5116</v>
      </c>
      <c r="AH358" s="20">
        <v>72</v>
      </c>
      <c r="AI358" s="20" t="s">
        <v>4944</v>
      </c>
      <c r="AJ358" s="115">
        <v>206000</v>
      </c>
      <c r="AK358" s="20">
        <v>0</v>
      </c>
      <c r="AL358" s="20">
        <f t="shared" si="86"/>
        <v>654</v>
      </c>
      <c r="AM358" s="20">
        <f t="shared" si="87"/>
        <v>134724000</v>
      </c>
      <c r="AN358" s="20"/>
      <c r="AS358" t="s">
        <v>25</v>
      </c>
    </row>
    <row r="359" spans="17:45" ht="21" customHeight="1">
      <c r="Q359" s="97" t="s">
        <v>4888</v>
      </c>
      <c r="R359" s="93">
        <v>1403460</v>
      </c>
      <c r="T359" s="19" t="s">
        <v>5504</v>
      </c>
      <c r="U359" s="19">
        <v>-43325</v>
      </c>
      <c r="V359" s="115">
        <v>2146.5548840000001</v>
      </c>
      <c r="W359" s="115">
        <f t="shared" si="75"/>
        <v>-92999490.349300012</v>
      </c>
      <c r="X359" s="264" t="s">
        <v>5505</v>
      </c>
      <c r="Y359" t="s">
        <v>25</v>
      </c>
      <c r="AH359" s="147">
        <v>73</v>
      </c>
      <c r="AI359" s="147" t="s">
        <v>4944</v>
      </c>
      <c r="AJ359" s="186">
        <v>206000</v>
      </c>
      <c r="AK359" s="147">
        <v>2</v>
      </c>
      <c r="AL359" s="147">
        <f t="shared" si="86"/>
        <v>654</v>
      </c>
      <c r="AM359" s="147">
        <f t="shared" si="87"/>
        <v>134724000</v>
      </c>
      <c r="AN359" s="147"/>
    </row>
    <row r="360" spans="17:45">
      <c r="Q360" s="97" t="s">
        <v>4893</v>
      </c>
      <c r="R360" s="93">
        <v>200000</v>
      </c>
      <c r="T360" s="19" t="s">
        <v>5512</v>
      </c>
      <c r="U360" s="19">
        <v>20888</v>
      </c>
      <c r="V360" s="115">
        <v>2428.4521530000002</v>
      </c>
      <c r="W360" s="115">
        <f t="shared" si="75"/>
        <v>50725508.571864001</v>
      </c>
      <c r="X360" s="264" t="s">
        <v>5116</v>
      </c>
      <c r="AH360" s="20">
        <v>74</v>
      </c>
      <c r="AI360" s="20" t="s">
        <v>4951</v>
      </c>
      <c r="AJ360" s="115">
        <v>50000</v>
      </c>
      <c r="AK360" s="20">
        <v>0</v>
      </c>
      <c r="AL360" s="20">
        <f t="shared" si="86"/>
        <v>652</v>
      </c>
      <c r="AM360" s="20">
        <f t="shared" si="87"/>
        <v>32600000</v>
      </c>
      <c r="AN360" s="20"/>
    </row>
    <row r="361" spans="17:45">
      <c r="Q361" s="97" t="s">
        <v>4898</v>
      </c>
      <c r="R361" s="93">
        <v>345000</v>
      </c>
      <c r="T361" s="19" t="s">
        <v>5513</v>
      </c>
      <c r="U361" s="19">
        <v>21663</v>
      </c>
      <c r="V361" s="115">
        <v>2308.0067819999999</v>
      </c>
      <c r="W361" s="115">
        <f t="shared" si="75"/>
        <v>49998350.918466002</v>
      </c>
      <c r="X361" s="264" t="s">
        <v>5516</v>
      </c>
      <c r="Y361" t="s">
        <v>25</v>
      </c>
      <c r="AH361" s="242">
        <v>75</v>
      </c>
      <c r="AI361" s="242" t="s">
        <v>4951</v>
      </c>
      <c r="AJ361" s="233">
        <v>50000</v>
      </c>
      <c r="AK361" s="242">
        <v>2</v>
      </c>
      <c r="AL361" s="242">
        <f t="shared" si="86"/>
        <v>652</v>
      </c>
      <c r="AM361" s="242">
        <f t="shared" si="87"/>
        <v>32600000</v>
      </c>
      <c r="AN361" s="242"/>
    </row>
    <row r="362" spans="17:45" ht="18.75" customHeight="1">
      <c r="Q362" s="97" t="s">
        <v>4901</v>
      </c>
      <c r="R362" s="93">
        <v>900000</v>
      </c>
      <c r="S362" s="112"/>
      <c r="T362" s="19" t="s">
        <v>5513</v>
      </c>
      <c r="U362" s="19">
        <v>977</v>
      </c>
      <c r="V362" s="115">
        <v>2335.6821479999999</v>
      </c>
      <c r="W362" s="115">
        <f t="shared" si="75"/>
        <v>2281961.458596</v>
      </c>
      <c r="X362" s="264" t="s">
        <v>5116</v>
      </c>
      <c r="AH362" s="20">
        <v>76</v>
      </c>
      <c r="AI362" s="20" t="s">
        <v>4955</v>
      </c>
      <c r="AJ362" s="115">
        <v>20000000</v>
      </c>
      <c r="AK362" s="20">
        <v>7</v>
      </c>
      <c r="AL362" s="20">
        <f t="shared" si="86"/>
        <v>650</v>
      </c>
      <c r="AM362" s="20">
        <f t="shared" si="87"/>
        <v>13000000000</v>
      </c>
      <c r="AN362" s="20" t="s">
        <v>4956</v>
      </c>
    </row>
    <row r="363" spans="17:45">
      <c r="Q363" s="97" t="s">
        <v>4909</v>
      </c>
      <c r="R363" s="93">
        <v>372517</v>
      </c>
      <c r="T363" s="19" t="s">
        <v>5520</v>
      </c>
      <c r="U363" s="19">
        <v>4155</v>
      </c>
      <c r="V363" s="115">
        <v>2647</v>
      </c>
      <c r="W363" s="115">
        <f t="shared" si="75"/>
        <v>10998285</v>
      </c>
      <c r="X363" s="264" t="s">
        <v>5116</v>
      </c>
      <c r="AH363" s="20">
        <v>77</v>
      </c>
      <c r="AI363" s="20" t="s">
        <v>4966</v>
      </c>
      <c r="AJ363" s="115">
        <v>50000</v>
      </c>
      <c r="AK363" s="20">
        <v>0</v>
      </c>
      <c r="AL363" s="20">
        <f t="shared" si="86"/>
        <v>643</v>
      </c>
      <c r="AM363" s="20">
        <f t="shared" si="87"/>
        <v>32150000</v>
      </c>
      <c r="AN363" s="20"/>
    </row>
    <row r="364" spans="17:45">
      <c r="Q364" s="97" t="s">
        <v>4944</v>
      </c>
      <c r="R364" s="93">
        <v>6489257</v>
      </c>
      <c r="T364" s="19" t="s">
        <v>5521</v>
      </c>
      <c r="U364" s="19">
        <v>351</v>
      </c>
      <c r="V364" s="115">
        <v>2800.6238229999999</v>
      </c>
      <c r="W364" s="115">
        <f t="shared" si="75"/>
        <v>983018.96187300002</v>
      </c>
      <c r="X364" s="264" t="s">
        <v>5116</v>
      </c>
      <c r="Y364" t="s">
        <v>25</v>
      </c>
      <c r="AH364" s="147">
        <v>78</v>
      </c>
      <c r="AI364" s="147" t="s">
        <v>4966</v>
      </c>
      <c r="AJ364" s="186">
        <v>50000</v>
      </c>
      <c r="AK364" s="147">
        <v>7</v>
      </c>
      <c r="AL364" s="147">
        <f t="shared" si="86"/>
        <v>643</v>
      </c>
      <c r="AM364" s="147">
        <f t="shared" si="87"/>
        <v>32150000</v>
      </c>
      <c r="AN364" s="147"/>
    </row>
    <row r="365" spans="17:45">
      <c r="Q365" s="97" t="s">
        <v>4955</v>
      </c>
      <c r="R365" s="93">
        <v>618000</v>
      </c>
      <c r="T365" s="19" t="s">
        <v>5523</v>
      </c>
      <c r="U365" s="19">
        <v>5877</v>
      </c>
      <c r="V365" s="115">
        <v>2901.0160000000001</v>
      </c>
      <c r="W365" s="115">
        <f t="shared" si="75"/>
        <v>17049271.032000002</v>
      </c>
      <c r="X365" s="264" t="s">
        <v>5116</v>
      </c>
      <c r="Y365" t="s">
        <v>25</v>
      </c>
      <c r="AH365" s="20">
        <v>79</v>
      </c>
      <c r="AI365" s="20" t="s">
        <v>4972</v>
      </c>
      <c r="AJ365" s="115">
        <v>2480000</v>
      </c>
      <c r="AK365" s="20">
        <v>0</v>
      </c>
      <c r="AL365" s="20">
        <f t="shared" si="86"/>
        <v>636</v>
      </c>
      <c r="AM365" s="20">
        <f t="shared" si="87"/>
        <v>1577280000</v>
      </c>
      <c r="AN365" s="20"/>
    </row>
    <row r="366" spans="17:45">
      <c r="Q366" s="97" t="s">
        <v>4959</v>
      </c>
      <c r="R366" s="93">
        <v>20105000</v>
      </c>
      <c r="T366" s="19" t="s">
        <v>5526</v>
      </c>
      <c r="U366" s="19">
        <v>2374</v>
      </c>
      <c r="V366" s="115">
        <v>2877</v>
      </c>
      <c r="W366" s="115">
        <f t="shared" ref="W366:W403" si="88">U366*V366</f>
        <v>6829998</v>
      </c>
      <c r="X366" s="264" t="s">
        <v>5116</v>
      </c>
      <c r="AH366" s="147">
        <v>80</v>
      </c>
      <c r="AI366" s="147" t="s">
        <v>4972</v>
      </c>
      <c r="AJ366" s="186">
        <v>2480000</v>
      </c>
      <c r="AK366" s="147">
        <v>12</v>
      </c>
      <c r="AL366" s="147">
        <f t="shared" si="86"/>
        <v>636</v>
      </c>
      <c r="AM366" s="147">
        <f t="shared" si="87"/>
        <v>1577280000</v>
      </c>
      <c r="AN366" s="147"/>
    </row>
    <row r="367" spans="17:45">
      <c r="Q367" s="97" t="s">
        <v>4960</v>
      </c>
      <c r="R367" s="93">
        <v>-21079990</v>
      </c>
      <c r="T367" s="19" t="s">
        <v>4212</v>
      </c>
      <c r="U367" s="19">
        <v>2532</v>
      </c>
      <c r="V367" s="115">
        <v>2757.7444</v>
      </c>
      <c r="W367" s="115">
        <f t="shared" si="88"/>
        <v>6982608.8207999999</v>
      </c>
      <c r="X367" s="264" t="s">
        <v>5116</v>
      </c>
      <c r="AH367" s="20">
        <v>81</v>
      </c>
      <c r="AI367" s="20" t="s">
        <v>4979</v>
      </c>
      <c r="AJ367" s="115">
        <v>-24159500</v>
      </c>
      <c r="AK367" s="20">
        <v>4</v>
      </c>
      <c r="AL367" s="20">
        <f t="shared" si="86"/>
        <v>624</v>
      </c>
      <c r="AM367" s="20">
        <f t="shared" si="87"/>
        <v>-15075528000</v>
      </c>
      <c r="AN367" s="20" t="s">
        <v>4987</v>
      </c>
    </row>
    <row r="368" spans="17:45">
      <c r="Q368" s="97" t="s">
        <v>4966</v>
      </c>
      <c r="R368" s="93">
        <v>-5949277</v>
      </c>
      <c r="T368" s="19" t="s">
        <v>4212</v>
      </c>
      <c r="U368" s="19">
        <v>4987</v>
      </c>
      <c r="V368" s="115">
        <v>2757.7444</v>
      </c>
      <c r="W368" s="115">
        <f t="shared" si="88"/>
        <v>13752871.322800001</v>
      </c>
      <c r="X368" s="264" t="s">
        <v>5542</v>
      </c>
      <c r="Y368" t="s">
        <v>25</v>
      </c>
      <c r="AH368" s="20">
        <v>82</v>
      </c>
      <c r="AI368" s="20" t="s">
        <v>4989</v>
      </c>
      <c r="AJ368" s="115">
        <v>400000</v>
      </c>
      <c r="AK368" s="20">
        <v>3</v>
      </c>
      <c r="AL368" s="20">
        <f t="shared" si="86"/>
        <v>620</v>
      </c>
      <c r="AM368" s="20">
        <f t="shared" si="87"/>
        <v>248000000</v>
      </c>
      <c r="AN368" s="20"/>
    </row>
    <row r="369" spans="17:45">
      <c r="Q369" s="97" t="s">
        <v>4972</v>
      </c>
      <c r="R369" s="93">
        <v>-15370656</v>
      </c>
      <c r="T369" s="19" t="s">
        <v>4212</v>
      </c>
      <c r="U369" s="19">
        <v>997</v>
      </c>
      <c r="V369" s="115">
        <v>2757.7444</v>
      </c>
      <c r="W369" s="115">
        <f t="shared" si="88"/>
        <v>2749471.1668000002</v>
      </c>
      <c r="X369" s="264" t="s">
        <v>5543</v>
      </c>
      <c r="AH369" s="147">
        <v>83</v>
      </c>
      <c r="AI369" s="147" t="s">
        <v>4996</v>
      </c>
      <c r="AJ369" s="186">
        <v>40000</v>
      </c>
      <c r="AK369" s="147">
        <v>0</v>
      </c>
      <c r="AL369" s="147">
        <f t="shared" si="86"/>
        <v>617</v>
      </c>
      <c r="AM369" s="147">
        <f t="shared" si="87"/>
        <v>24680000</v>
      </c>
      <c r="AN369" s="147"/>
    </row>
    <row r="370" spans="17:45">
      <c r="Q370" s="97" t="s">
        <v>4972</v>
      </c>
      <c r="R370" s="93">
        <v>4960000</v>
      </c>
      <c r="T370" s="19" t="s">
        <v>5547</v>
      </c>
      <c r="U370" s="19">
        <v>2874</v>
      </c>
      <c r="V370" s="115">
        <v>2613.1284000000001</v>
      </c>
      <c r="W370" s="115">
        <f t="shared" si="88"/>
        <v>7510131.0216000006</v>
      </c>
      <c r="X370" s="264" t="s">
        <v>5116</v>
      </c>
      <c r="AB370" t="s">
        <v>25</v>
      </c>
      <c r="AH370" s="20">
        <v>84</v>
      </c>
      <c r="AI370" s="20" t="s">
        <v>4996</v>
      </c>
      <c r="AJ370" s="115">
        <v>40000</v>
      </c>
      <c r="AK370" s="20">
        <v>5</v>
      </c>
      <c r="AL370" s="20">
        <f t="shared" si="86"/>
        <v>617</v>
      </c>
      <c r="AM370" s="20">
        <f t="shared" si="87"/>
        <v>24680000</v>
      </c>
      <c r="AN370" s="20"/>
    </row>
    <row r="371" spans="17:45">
      <c r="Q371" s="97" t="s">
        <v>4979</v>
      </c>
      <c r="R371" s="93">
        <v>10000000</v>
      </c>
      <c r="S371" t="s">
        <v>25</v>
      </c>
      <c r="T371" s="19" t="s">
        <v>5553</v>
      </c>
      <c r="U371" s="19">
        <v>2847</v>
      </c>
      <c r="V371" s="115">
        <v>2556.3841000000002</v>
      </c>
      <c r="W371" s="115">
        <f t="shared" si="88"/>
        <v>7278025.5327000003</v>
      </c>
      <c r="X371" s="264" t="s">
        <v>5116</v>
      </c>
      <c r="AH371" s="20">
        <v>85</v>
      </c>
      <c r="AI371" s="20" t="s">
        <v>5004</v>
      </c>
      <c r="AJ371" s="115">
        <v>200000</v>
      </c>
      <c r="AK371" s="20">
        <v>1</v>
      </c>
      <c r="AL371" s="20">
        <f t="shared" si="86"/>
        <v>612</v>
      </c>
      <c r="AM371" s="20">
        <f t="shared" si="87"/>
        <v>122400000</v>
      </c>
      <c r="AN371" s="20"/>
    </row>
    <row r="372" spans="17:45">
      <c r="Q372" s="97" t="s">
        <v>4988</v>
      </c>
      <c r="R372" s="93">
        <v>-40570100</v>
      </c>
      <c r="T372" s="19" t="s">
        <v>5553</v>
      </c>
      <c r="U372" s="19">
        <v>1222</v>
      </c>
      <c r="V372" s="115">
        <v>2556.3841000000002</v>
      </c>
      <c r="W372" s="115">
        <f t="shared" si="88"/>
        <v>3123901.3702000002</v>
      </c>
      <c r="X372" s="264" t="s">
        <v>5554</v>
      </c>
      <c r="AH372" s="20">
        <v>86</v>
      </c>
      <c r="AI372" s="20" t="s">
        <v>5008</v>
      </c>
      <c r="AJ372" s="115">
        <v>500000</v>
      </c>
      <c r="AK372" s="20">
        <v>2</v>
      </c>
      <c r="AL372" s="20">
        <f t="shared" ref="AL372:AL401" si="89">AK372+AL373</f>
        <v>611</v>
      </c>
      <c r="AM372" s="20">
        <f t="shared" ref="AM372:AM401" si="90">AJ372*AL372</f>
        <v>305500000</v>
      </c>
      <c r="AN372" s="20"/>
      <c r="AR372" t="s">
        <v>25</v>
      </c>
    </row>
    <row r="373" spans="17:45">
      <c r="Q373" s="97" t="s">
        <v>4989</v>
      </c>
      <c r="R373" s="93">
        <v>1000000</v>
      </c>
      <c r="T373" s="19" t="s">
        <v>5562</v>
      </c>
      <c r="U373" s="19">
        <v>73</v>
      </c>
      <c r="V373" s="115">
        <v>2672.0459999999998</v>
      </c>
      <c r="W373" s="115">
        <f t="shared" si="88"/>
        <v>195059.35799999998</v>
      </c>
      <c r="X373" s="264" t="s">
        <v>5116</v>
      </c>
      <c r="AH373" s="20">
        <v>87</v>
      </c>
      <c r="AI373" s="20" t="s">
        <v>5010</v>
      </c>
      <c r="AJ373" s="115">
        <v>500000</v>
      </c>
      <c r="AK373" s="20">
        <v>3</v>
      </c>
      <c r="AL373" s="20">
        <f t="shared" si="89"/>
        <v>609</v>
      </c>
      <c r="AM373" s="20">
        <f t="shared" si="90"/>
        <v>304500000</v>
      </c>
      <c r="AN373" s="20"/>
    </row>
    <row r="374" spans="17:45" ht="30">
      <c r="Q374" s="97" t="s">
        <v>4996</v>
      </c>
      <c r="R374" s="93">
        <v>400000</v>
      </c>
      <c r="T374" s="19" t="s">
        <v>5567</v>
      </c>
      <c r="U374" s="19">
        <v>332</v>
      </c>
      <c r="V374" s="115">
        <v>2598.1260000000002</v>
      </c>
      <c r="W374" s="115">
        <f t="shared" si="88"/>
        <v>862577.83200000005</v>
      </c>
      <c r="X374" s="264" t="s">
        <v>5568</v>
      </c>
      <c r="Y374" t="s">
        <v>25</v>
      </c>
      <c r="Z374" t="s">
        <v>25</v>
      </c>
      <c r="AH374" s="20">
        <v>88</v>
      </c>
      <c r="AI374" s="20" t="s">
        <v>5001</v>
      </c>
      <c r="AJ374" s="115">
        <v>250000</v>
      </c>
      <c r="AK374" s="20">
        <v>0</v>
      </c>
      <c r="AL374" s="20">
        <f t="shared" si="89"/>
        <v>606</v>
      </c>
      <c r="AM374" s="20">
        <f t="shared" si="90"/>
        <v>151500000</v>
      </c>
      <c r="AN374" s="20"/>
      <c r="AS374" t="s">
        <v>25</v>
      </c>
    </row>
    <row r="375" spans="17:45">
      <c r="Q375" s="97" t="s">
        <v>5010</v>
      </c>
      <c r="R375" s="93">
        <v>120000</v>
      </c>
      <c r="T375" s="19" t="s">
        <v>5569</v>
      </c>
      <c r="U375" s="19">
        <v>346</v>
      </c>
      <c r="V375" s="115">
        <v>2659.8510000000001</v>
      </c>
      <c r="W375" s="115">
        <f t="shared" si="88"/>
        <v>920308.446</v>
      </c>
      <c r="X375" s="264" t="s">
        <v>5116</v>
      </c>
      <c r="AH375" s="242">
        <v>89</v>
      </c>
      <c r="AI375" s="242" t="s">
        <v>5001</v>
      </c>
      <c r="AJ375" s="233">
        <v>245000</v>
      </c>
      <c r="AK375" s="242">
        <v>16</v>
      </c>
      <c r="AL375" s="242">
        <f t="shared" si="89"/>
        <v>606</v>
      </c>
      <c r="AM375" s="242">
        <f t="shared" si="90"/>
        <v>148470000</v>
      </c>
      <c r="AN375" s="242"/>
    </row>
    <row r="376" spans="17:45">
      <c r="Q376" s="97" t="s">
        <v>5001</v>
      </c>
      <c r="R376" s="93">
        <v>500000</v>
      </c>
      <c r="T376" s="19" t="s">
        <v>5570</v>
      </c>
      <c r="U376" s="19">
        <v>1722</v>
      </c>
      <c r="V376" s="115">
        <v>2692.1079220000001</v>
      </c>
      <c r="W376" s="115">
        <f t="shared" si="88"/>
        <v>4635809.8416840006</v>
      </c>
      <c r="X376" s="264" t="s">
        <v>5116</v>
      </c>
      <c r="Y376" t="s">
        <v>25</v>
      </c>
      <c r="AH376" s="20">
        <v>90</v>
      </c>
      <c r="AI376" s="20" t="s">
        <v>5035</v>
      </c>
      <c r="AJ376" s="115">
        <v>312598</v>
      </c>
      <c r="AK376" s="20">
        <v>0</v>
      </c>
      <c r="AL376" s="20">
        <f t="shared" si="89"/>
        <v>590</v>
      </c>
      <c r="AM376" s="20">
        <f t="shared" si="90"/>
        <v>184432820</v>
      </c>
      <c r="AN376" s="20"/>
    </row>
    <row r="377" spans="17:45">
      <c r="Q377" s="97" t="s">
        <v>5026</v>
      </c>
      <c r="R377" s="93">
        <v>744000</v>
      </c>
      <c r="T377" s="19" t="s">
        <v>5572</v>
      </c>
      <c r="U377" s="19">
        <v>106</v>
      </c>
      <c r="V377" s="115">
        <v>2725.4</v>
      </c>
      <c r="W377" s="115">
        <f t="shared" si="88"/>
        <v>288892.40000000002</v>
      </c>
      <c r="X377" s="264" t="s">
        <v>452</v>
      </c>
      <c r="Y377" t="s">
        <v>25</v>
      </c>
      <c r="Z377" t="s">
        <v>25</v>
      </c>
      <c r="AH377" s="20">
        <v>91</v>
      </c>
      <c r="AI377" s="20" t="s">
        <v>5035</v>
      </c>
      <c r="AJ377" s="115">
        <v>780000</v>
      </c>
      <c r="AK377" s="20">
        <v>0</v>
      </c>
      <c r="AL377" s="20">
        <f t="shared" si="89"/>
        <v>590</v>
      </c>
      <c r="AM377" s="20">
        <f t="shared" si="90"/>
        <v>460200000</v>
      </c>
      <c r="AN377" s="20"/>
      <c r="AR377" t="s">
        <v>25</v>
      </c>
    </row>
    <row r="378" spans="17:45">
      <c r="Q378" s="97" t="s">
        <v>5031</v>
      </c>
      <c r="R378" s="93">
        <v>65000</v>
      </c>
      <c r="T378" s="19" t="s">
        <v>5600</v>
      </c>
      <c r="U378" s="19">
        <v>25901</v>
      </c>
      <c r="V378" s="115">
        <v>2258.9090000000001</v>
      </c>
      <c r="W378" s="115">
        <f t="shared" si="88"/>
        <v>58508002.009000003</v>
      </c>
      <c r="X378" s="264" t="s">
        <v>5116</v>
      </c>
      <c r="AH378" s="192">
        <v>92</v>
      </c>
      <c r="AI378" s="192" t="s">
        <v>5035</v>
      </c>
      <c r="AJ378" s="193">
        <v>-300000</v>
      </c>
      <c r="AK378" s="192">
        <v>1</v>
      </c>
      <c r="AL378" s="192">
        <f t="shared" si="89"/>
        <v>590</v>
      </c>
      <c r="AM378" s="192">
        <f t="shared" si="90"/>
        <v>-177000000</v>
      </c>
      <c r="AN378" s="192"/>
    </row>
    <row r="379" spans="17:45">
      <c r="Q379" s="97" t="s">
        <v>5002</v>
      </c>
      <c r="R379" s="93">
        <v>-14053702</v>
      </c>
      <c r="T379" s="19" t="s">
        <v>5602</v>
      </c>
      <c r="U379" s="19">
        <v>951</v>
      </c>
      <c r="V379" s="115">
        <v>2361.2150799999999</v>
      </c>
      <c r="W379" s="115">
        <f t="shared" si="88"/>
        <v>2245515.5410799999</v>
      </c>
      <c r="X379" s="264" t="s">
        <v>5116</v>
      </c>
      <c r="AH379" s="20">
        <v>93</v>
      </c>
      <c r="AI379" s="20" t="s">
        <v>5002</v>
      </c>
      <c r="AJ379" s="115">
        <v>300000</v>
      </c>
      <c r="AK379" s="20">
        <v>0</v>
      </c>
      <c r="AL379" s="20">
        <f t="shared" si="89"/>
        <v>589</v>
      </c>
      <c r="AM379" s="20">
        <f t="shared" si="90"/>
        <v>176700000</v>
      </c>
      <c r="AN379" s="20"/>
    </row>
    <row r="380" spans="17:45">
      <c r="Q380" s="97" t="s">
        <v>5067</v>
      </c>
      <c r="R380" s="93">
        <v>3555678</v>
      </c>
      <c r="T380" s="19" t="s">
        <v>5604</v>
      </c>
      <c r="U380" s="19">
        <v>7622</v>
      </c>
      <c r="V380" s="115">
        <v>2414.6810999999998</v>
      </c>
      <c r="W380" s="115">
        <f t="shared" si="88"/>
        <v>18404699.3442</v>
      </c>
      <c r="X380" s="264" t="s">
        <v>5116</v>
      </c>
      <c r="AH380" s="20">
        <v>94</v>
      </c>
      <c r="AI380" s="20" t="s">
        <v>5002</v>
      </c>
      <c r="AJ380" s="115">
        <v>8660000</v>
      </c>
      <c r="AK380" s="20">
        <v>8</v>
      </c>
      <c r="AL380" s="20">
        <f t="shared" si="89"/>
        <v>589</v>
      </c>
      <c r="AM380" s="20">
        <f t="shared" si="90"/>
        <v>5100740000</v>
      </c>
      <c r="AN380" s="20"/>
    </row>
    <row r="381" spans="17:45">
      <c r="Q381" s="97" t="s">
        <v>5071</v>
      </c>
      <c r="R381" s="93">
        <v>3495</v>
      </c>
      <c r="T381" s="19" t="s">
        <v>5604</v>
      </c>
      <c r="U381" s="19">
        <v>-282</v>
      </c>
      <c r="V381" s="115">
        <v>2414.6810999999998</v>
      </c>
      <c r="W381" s="115">
        <f t="shared" si="88"/>
        <v>-680940.07019999996</v>
      </c>
      <c r="X381" s="264" t="s">
        <v>5605</v>
      </c>
      <c r="AH381" s="147">
        <v>95</v>
      </c>
      <c r="AI381" s="147" t="s">
        <v>5052</v>
      </c>
      <c r="AJ381" s="186">
        <v>200000</v>
      </c>
      <c r="AK381" s="147">
        <v>3</v>
      </c>
      <c r="AL381" s="147">
        <f t="shared" si="89"/>
        <v>581</v>
      </c>
      <c r="AM381" s="147">
        <f t="shared" si="90"/>
        <v>116200000</v>
      </c>
      <c r="AN381" s="147"/>
      <c r="AP381" t="s">
        <v>25</v>
      </c>
    </row>
    <row r="382" spans="17:45">
      <c r="Q382" s="97" t="s">
        <v>5073</v>
      </c>
      <c r="R382" s="93">
        <v>6000000</v>
      </c>
      <c r="T382" s="19" t="s">
        <v>5604</v>
      </c>
      <c r="U382" s="19">
        <v>20162</v>
      </c>
      <c r="V382" s="115">
        <v>2414.6810999999998</v>
      </c>
      <c r="W382" s="115">
        <f t="shared" si="88"/>
        <v>48684800.338199995</v>
      </c>
      <c r="X382" s="264" t="s">
        <v>5606</v>
      </c>
      <c r="AH382" s="147">
        <v>96</v>
      </c>
      <c r="AI382" s="147" t="s">
        <v>5055</v>
      </c>
      <c r="AJ382" s="186">
        <v>20000</v>
      </c>
      <c r="AK382" s="147">
        <v>1</v>
      </c>
      <c r="AL382" s="147">
        <f t="shared" si="89"/>
        <v>578</v>
      </c>
      <c r="AM382" s="147">
        <f t="shared" si="90"/>
        <v>11560000</v>
      </c>
      <c r="AN382" s="147"/>
    </row>
    <row r="383" spans="17:45">
      <c r="Q383" s="97" t="s">
        <v>5074</v>
      </c>
      <c r="R383" s="93">
        <v>17220</v>
      </c>
      <c r="T383" s="19" t="s">
        <v>5604</v>
      </c>
      <c r="U383" s="19">
        <v>-20162</v>
      </c>
      <c r="V383" s="115">
        <v>2414.6810999999998</v>
      </c>
      <c r="W383" s="115">
        <f t="shared" si="88"/>
        <v>-48684800.338199995</v>
      </c>
      <c r="X383" s="264" t="s">
        <v>744</v>
      </c>
      <c r="AH383" s="20">
        <v>97</v>
      </c>
      <c r="AI383" s="20" t="s">
        <v>5065</v>
      </c>
      <c r="AJ383" s="115">
        <v>14340000</v>
      </c>
      <c r="AK383" s="20">
        <v>7</v>
      </c>
      <c r="AL383" s="20">
        <f t="shared" si="89"/>
        <v>577</v>
      </c>
      <c r="AM383" s="20">
        <f t="shared" si="90"/>
        <v>8274180000</v>
      </c>
      <c r="AN383" s="20"/>
    </row>
    <row r="384" spans="17:45">
      <c r="Q384" s="97" t="s">
        <v>5076</v>
      </c>
      <c r="R384" s="93">
        <v>8249</v>
      </c>
      <c r="T384" s="19" t="s">
        <v>5607</v>
      </c>
      <c r="U384" s="19">
        <v>977</v>
      </c>
      <c r="V384" s="115">
        <v>2317.971947</v>
      </c>
      <c r="W384" s="115">
        <f t="shared" si="88"/>
        <v>2264658.5922190002</v>
      </c>
      <c r="X384" s="264" t="s">
        <v>5116</v>
      </c>
      <c r="AH384" s="20">
        <v>98</v>
      </c>
      <c r="AI384" s="20" t="s">
        <v>5071</v>
      </c>
      <c r="AJ384" s="115">
        <v>10000000</v>
      </c>
      <c r="AK384" s="20">
        <v>6</v>
      </c>
      <c r="AL384" s="20">
        <f t="shared" si="89"/>
        <v>570</v>
      </c>
      <c r="AM384" s="20">
        <f t="shared" si="90"/>
        <v>5700000000</v>
      </c>
      <c r="AN384" s="20" t="s">
        <v>4678</v>
      </c>
    </row>
    <row r="385" spans="16:45">
      <c r="Q385" s="97" t="s">
        <v>5076</v>
      </c>
      <c r="R385" s="93">
        <v>6937</v>
      </c>
      <c r="T385" s="19" t="s">
        <v>5609</v>
      </c>
      <c r="U385" s="19">
        <v>10280</v>
      </c>
      <c r="V385" s="115">
        <v>2225.429357</v>
      </c>
      <c r="W385" s="115">
        <f t="shared" si="88"/>
        <v>22877413.789960001</v>
      </c>
      <c r="X385" s="264" t="s">
        <v>5116</v>
      </c>
      <c r="AH385" s="20">
        <v>99</v>
      </c>
      <c r="AI385" s="20" t="s">
        <v>5076</v>
      </c>
      <c r="AJ385" s="115">
        <v>4033949</v>
      </c>
      <c r="AK385" s="20">
        <v>2</v>
      </c>
      <c r="AL385" s="20">
        <f t="shared" si="89"/>
        <v>564</v>
      </c>
      <c r="AM385" s="20">
        <f t="shared" si="90"/>
        <v>2275147236</v>
      </c>
      <c r="AN385" s="20" t="s">
        <v>5078</v>
      </c>
    </row>
    <row r="386" spans="16:45">
      <c r="Q386" s="97" t="s">
        <v>5079</v>
      </c>
      <c r="R386" s="93">
        <v>4046552</v>
      </c>
      <c r="T386" s="19" t="s">
        <v>5612</v>
      </c>
      <c r="U386" s="19">
        <v>1022</v>
      </c>
      <c r="V386" s="115">
        <v>2311.6824240000001</v>
      </c>
      <c r="W386" s="115">
        <f t="shared" si="88"/>
        <v>2362539.4373280001</v>
      </c>
      <c r="X386" s="264" t="s">
        <v>5116</v>
      </c>
      <c r="AH386" s="147">
        <v>100</v>
      </c>
      <c r="AI386" s="147" t="s">
        <v>5082</v>
      </c>
      <c r="AJ386" s="186">
        <v>11500000</v>
      </c>
      <c r="AK386" s="147">
        <v>2</v>
      </c>
      <c r="AL386" s="147">
        <f t="shared" si="89"/>
        <v>562</v>
      </c>
      <c r="AM386" s="147">
        <f t="shared" si="90"/>
        <v>6463000000</v>
      </c>
      <c r="AN386" s="147" t="s">
        <v>5084</v>
      </c>
      <c r="AQ386" t="s">
        <v>25</v>
      </c>
    </row>
    <row r="387" spans="16:45">
      <c r="Q387" s="97" t="s">
        <v>5086</v>
      </c>
      <c r="R387" s="93">
        <v>-3884943</v>
      </c>
      <c r="S387" t="s">
        <v>25</v>
      </c>
      <c r="T387" s="19" t="s">
        <v>5613</v>
      </c>
      <c r="U387" s="19">
        <v>6818</v>
      </c>
      <c r="V387" s="115">
        <v>2352.988656</v>
      </c>
      <c r="W387" s="115">
        <f t="shared" si="88"/>
        <v>16042676.656608</v>
      </c>
      <c r="X387" s="264" t="s">
        <v>5116</v>
      </c>
      <c r="AF387" s="94" t="s">
        <v>25</v>
      </c>
      <c r="AH387" s="147">
        <v>101</v>
      </c>
      <c r="AI387" s="147" t="s">
        <v>5086</v>
      </c>
      <c r="AJ387" s="186">
        <v>250000</v>
      </c>
      <c r="AK387" s="147">
        <v>3</v>
      </c>
      <c r="AL387" s="147">
        <f t="shared" si="89"/>
        <v>560</v>
      </c>
      <c r="AM387" s="147">
        <f t="shared" si="90"/>
        <v>140000000</v>
      </c>
      <c r="AN387" s="147"/>
    </row>
    <row r="388" spans="16:45">
      <c r="Q388" s="97" t="s">
        <v>5112</v>
      </c>
      <c r="R388" s="93">
        <v>6022</v>
      </c>
      <c r="T388" s="19" t="s">
        <v>5614</v>
      </c>
      <c r="U388" s="19">
        <v>8023</v>
      </c>
      <c r="V388" s="115">
        <v>2293.8167079999998</v>
      </c>
      <c r="W388" s="115">
        <f t="shared" si="88"/>
        <v>18403291.448284</v>
      </c>
      <c r="X388" s="264" t="s">
        <v>5116</v>
      </c>
      <c r="AH388" s="147">
        <v>102</v>
      </c>
      <c r="AI388" s="147" t="s">
        <v>5111</v>
      </c>
      <c r="AJ388" s="186">
        <v>6000000</v>
      </c>
      <c r="AK388" s="147">
        <v>1</v>
      </c>
      <c r="AL388" s="147">
        <f t="shared" si="89"/>
        <v>557</v>
      </c>
      <c r="AM388" s="147">
        <f t="shared" si="90"/>
        <v>3342000000</v>
      </c>
      <c r="AN388" s="147" t="s">
        <v>5084</v>
      </c>
      <c r="AS388" t="s">
        <v>25</v>
      </c>
    </row>
    <row r="389" spans="16:45">
      <c r="Q389" s="97" t="s">
        <v>5115</v>
      </c>
      <c r="R389" s="93">
        <v>400000</v>
      </c>
      <c r="T389" s="19" t="s">
        <v>5617</v>
      </c>
      <c r="U389" s="19">
        <v>4666</v>
      </c>
      <c r="V389" s="115">
        <v>2263.4906230000001</v>
      </c>
      <c r="W389" s="115">
        <f t="shared" si="88"/>
        <v>10561447.246918</v>
      </c>
      <c r="X389" s="264" t="s">
        <v>5116</v>
      </c>
      <c r="AH389" s="147">
        <v>103</v>
      </c>
      <c r="AI389" s="147" t="s">
        <v>5112</v>
      </c>
      <c r="AJ389" s="186">
        <v>1500000</v>
      </c>
      <c r="AK389" s="147">
        <v>6</v>
      </c>
      <c r="AL389" s="147">
        <f t="shared" si="89"/>
        <v>556</v>
      </c>
      <c r="AM389" s="147">
        <f t="shared" si="90"/>
        <v>834000000</v>
      </c>
      <c r="AN389" s="147" t="s">
        <v>5084</v>
      </c>
    </row>
    <row r="390" spans="16:45">
      <c r="Q390" s="97" t="s">
        <v>5115</v>
      </c>
      <c r="R390" s="93">
        <v>92847</v>
      </c>
      <c r="T390" s="19" t="s">
        <v>5618</v>
      </c>
      <c r="U390" s="19">
        <v>542</v>
      </c>
      <c r="V390" s="115">
        <v>2263.4906230000001</v>
      </c>
      <c r="W390" s="115">
        <f t="shared" si="88"/>
        <v>1226811.9176660001</v>
      </c>
      <c r="X390" s="264" t="s">
        <v>5116</v>
      </c>
      <c r="AH390" s="20">
        <v>104</v>
      </c>
      <c r="AI390" s="20" t="s">
        <v>960</v>
      </c>
      <c r="AJ390" s="115">
        <v>-3960043</v>
      </c>
      <c r="AK390" s="20">
        <v>2</v>
      </c>
      <c r="AL390" s="20">
        <f t="shared" si="89"/>
        <v>550</v>
      </c>
      <c r="AM390" s="20">
        <f t="shared" si="90"/>
        <v>-2178023650</v>
      </c>
      <c r="AN390" s="20"/>
    </row>
    <row r="391" spans="16:45">
      <c r="P391" t="s">
        <v>25</v>
      </c>
      <c r="Q391" s="97" t="s">
        <v>5119</v>
      </c>
      <c r="R391" s="93">
        <v>-100000</v>
      </c>
      <c r="T391" s="19" t="s">
        <v>5619</v>
      </c>
      <c r="U391" s="19">
        <v>16629</v>
      </c>
      <c r="V391" s="115">
        <v>2367.7887540000002</v>
      </c>
      <c r="W391" s="115">
        <f t="shared" si="88"/>
        <v>39373959.190266006</v>
      </c>
      <c r="X391" s="264" t="s">
        <v>5116</v>
      </c>
      <c r="AH391" s="20">
        <v>105</v>
      </c>
      <c r="AI391" s="20" t="s">
        <v>5130</v>
      </c>
      <c r="AJ391" s="115">
        <v>230000</v>
      </c>
      <c r="AK391" s="20">
        <v>0</v>
      </c>
      <c r="AL391" s="20">
        <f t="shared" si="89"/>
        <v>548</v>
      </c>
      <c r="AM391" s="20">
        <f t="shared" si="90"/>
        <v>126040000</v>
      </c>
      <c r="AN391" s="20"/>
    </row>
    <row r="392" spans="16:45">
      <c r="Q392" s="97" t="s">
        <v>5124</v>
      </c>
      <c r="R392" s="93">
        <v>10000000</v>
      </c>
      <c r="T392" s="19" t="s">
        <v>5624</v>
      </c>
      <c r="U392" s="19">
        <v>11765</v>
      </c>
      <c r="V392" s="115">
        <v>2354.7375320000001</v>
      </c>
      <c r="W392" s="115">
        <f t="shared" si="88"/>
        <v>27703487.063980002</v>
      </c>
      <c r="X392" s="264" t="s">
        <v>5116</v>
      </c>
      <c r="AH392" s="147">
        <v>106</v>
      </c>
      <c r="AI392" s="147" t="s">
        <v>5130</v>
      </c>
      <c r="AJ392" s="186">
        <v>230000</v>
      </c>
      <c r="AK392" s="147">
        <v>1</v>
      </c>
      <c r="AL392" s="147">
        <f t="shared" si="89"/>
        <v>548</v>
      </c>
      <c r="AM392" s="147">
        <f t="shared" si="90"/>
        <v>126040000</v>
      </c>
      <c r="AN392" s="147"/>
    </row>
    <row r="393" spans="16:45">
      <c r="Q393" s="97" t="s">
        <v>5128</v>
      </c>
      <c r="R393" s="93">
        <v>-400000</v>
      </c>
      <c r="T393" s="19" t="s">
        <v>5625</v>
      </c>
      <c r="U393" s="19">
        <v>3672</v>
      </c>
      <c r="V393" s="115">
        <v>2379.873826</v>
      </c>
      <c r="W393" s="115">
        <f t="shared" si="88"/>
        <v>8738896.6890719999</v>
      </c>
      <c r="X393" s="264" t="s">
        <v>5116</v>
      </c>
      <c r="Z393" t="s">
        <v>25</v>
      </c>
      <c r="AH393" s="147">
        <v>107</v>
      </c>
      <c r="AI393" s="147" t="s">
        <v>5131</v>
      </c>
      <c r="AJ393" s="186">
        <v>500000</v>
      </c>
      <c r="AK393" s="147">
        <v>1</v>
      </c>
      <c r="AL393" s="147">
        <f t="shared" si="89"/>
        <v>547</v>
      </c>
      <c r="AM393" s="147">
        <f t="shared" si="90"/>
        <v>273500000</v>
      </c>
      <c r="AN393" s="147"/>
      <c r="AR393" t="s">
        <v>25</v>
      </c>
    </row>
    <row r="394" spans="16:45">
      <c r="Q394" s="97" t="s">
        <v>5130</v>
      </c>
      <c r="R394" s="93">
        <v>5649</v>
      </c>
      <c r="T394" s="19" t="s">
        <v>4185</v>
      </c>
      <c r="U394" s="19">
        <v>140</v>
      </c>
      <c r="V394" s="115">
        <v>2487.154767</v>
      </c>
      <c r="W394" s="115">
        <f t="shared" si="88"/>
        <v>348201.66738</v>
      </c>
      <c r="X394" s="264" t="s">
        <v>5116</v>
      </c>
      <c r="AH394" s="20">
        <v>108</v>
      </c>
      <c r="AI394" s="20" t="s">
        <v>5134</v>
      </c>
      <c r="AJ394" s="115">
        <v>-880000</v>
      </c>
      <c r="AK394" s="20">
        <v>4</v>
      </c>
      <c r="AL394" s="20">
        <f t="shared" si="89"/>
        <v>546</v>
      </c>
      <c r="AM394" s="20">
        <f t="shared" si="90"/>
        <v>-480480000</v>
      </c>
      <c r="AN394" s="20"/>
    </row>
    <row r="395" spans="16:45">
      <c r="Q395" s="97" t="s">
        <v>5131</v>
      </c>
      <c r="R395" s="93">
        <v>460000</v>
      </c>
      <c r="T395" s="19" t="s">
        <v>5627</v>
      </c>
      <c r="U395" s="19">
        <v>1616</v>
      </c>
      <c r="V395" s="115">
        <v>2573.0760479999999</v>
      </c>
      <c r="W395" s="115">
        <f t="shared" si="88"/>
        <v>4158090.8935679998</v>
      </c>
      <c r="X395" s="264" t="s">
        <v>5116</v>
      </c>
      <c r="AH395" s="192">
        <v>109</v>
      </c>
      <c r="AI395" s="192" t="s">
        <v>5138</v>
      </c>
      <c r="AJ395" s="193">
        <v>873000</v>
      </c>
      <c r="AK395" s="192">
        <v>0</v>
      </c>
      <c r="AL395" s="192">
        <f t="shared" si="89"/>
        <v>542</v>
      </c>
      <c r="AM395" s="192">
        <f t="shared" si="90"/>
        <v>473166000</v>
      </c>
      <c r="AN395" s="192" t="s">
        <v>5084</v>
      </c>
    </row>
    <row r="396" spans="16:45">
      <c r="Q396" s="97" t="s">
        <v>5131</v>
      </c>
      <c r="R396" s="93">
        <v>1300000</v>
      </c>
      <c r="T396" s="187" t="s">
        <v>5628</v>
      </c>
      <c r="U396" s="187">
        <v>5682</v>
      </c>
      <c r="V396" s="186">
        <v>2639.970566</v>
      </c>
      <c r="W396" s="186">
        <f t="shared" si="88"/>
        <v>15000312.756012</v>
      </c>
      <c r="X396" s="263" t="s">
        <v>5894</v>
      </c>
      <c r="AH396" s="20">
        <v>110</v>
      </c>
      <c r="AI396" s="20" t="s">
        <v>5138</v>
      </c>
      <c r="AJ396" s="115">
        <v>127000</v>
      </c>
      <c r="AK396" s="20">
        <v>0</v>
      </c>
      <c r="AL396" s="20">
        <f t="shared" si="89"/>
        <v>542</v>
      </c>
      <c r="AM396" s="20">
        <f t="shared" si="90"/>
        <v>68834000</v>
      </c>
      <c r="AN396" s="20" t="s">
        <v>5084</v>
      </c>
    </row>
    <row r="397" spans="16:45" ht="30">
      <c r="Q397" s="97" t="s">
        <v>977</v>
      </c>
      <c r="R397" s="93">
        <v>7300000</v>
      </c>
      <c r="T397" s="187" t="s">
        <v>5628</v>
      </c>
      <c r="U397" s="187">
        <v>-122</v>
      </c>
      <c r="V397" s="186">
        <v>2639.970566</v>
      </c>
      <c r="W397" s="186">
        <f t="shared" si="88"/>
        <v>-322076.40905199997</v>
      </c>
      <c r="X397" s="263" t="s">
        <v>5934</v>
      </c>
      <c r="Y397" t="s">
        <v>25</v>
      </c>
      <c r="AH397" s="20">
        <v>111</v>
      </c>
      <c r="AI397" s="20" t="s">
        <v>5138</v>
      </c>
      <c r="AJ397" s="115">
        <v>73000</v>
      </c>
      <c r="AK397" s="20">
        <v>1</v>
      </c>
      <c r="AL397" s="20">
        <f t="shared" si="89"/>
        <v>542</v>
      </c>
      <c r="AM397" s="20">
        <f t="shared" si="90"/>
        <v>39566000</v>
      </c>
      <c r="AN397" s="20"/>
    </row>
    <row r="398" spans="16:45" ht="21" customHeight="1">
      <c r="Q398" s="97" t="s">
        <v>4256</v>
      </c>
      <c r="R398" s="93">
        <v>21203</v>
      </c>
      <c r="T398" s="19" t="s">
        <v>5628</v>
      </c>
      <c r="U398" s="19">
        <v>2272</v>
      </c>
      <c r="V398" s="115">
        <v>2639.970566</v>
      </c>
      <c r="W398" s="115">
        <f t="shared" si="88"/>
        <v>5998013.1259519998</v>
      </c>
      <c r="X398" s="264" t="s">
        <v>5637</v>
      </c>
      <c r="AA398" t="s">
        <v>25</v>
      </c>
      <c r="AH398" s="20">
        <v>112</v>
      </c>
      <c r="AI398" s="20" t="s">
        <v>977</v>
      </c>
      <c r="AJ398" s="115">
        <v>4300000</v>
      </c>
      <c r="AK398" s="20">
        <v>1</v>
      </c>
      <c r="AL398" s="20">
        <f t="shared" si="89"/>
        <v>541</v>
      </c>
      <c r="AM398" s="20">
        <f t="shared" si="90"/>
        <v>2326300000</v>
      </c>
      <c r="AN398" s="20"/>
    </row>
    <row r="399" spans="16:45" ht="30">
      <c r="Q399" s="97" t="s">
        <v>5129</v>
      </c>
      <c r="R399" s="93">
        <v>34550</v>
      </c>
      <c r="T399" s="19" t="s">
        <v>5628</v>
      </c>
      <c r="U399" s="19">
        <v>4434</v>
      </c>
      <c r="V399" s="115">
        <v>2639.970566</v>
      </c>
      <c r="W399" s="115">
        <f t="shared" si="88"/>
        <v>11705629.489644</v>
      </c>
      <c r="X399" s="264" t="s">
        <v>5638</v>
      </c>
      <c r="AH399" s="20">
        <v>113</v>
      </c>
      <c r="AI399" s="20" t="s">
        <v>5014</v>
      </c>
      <c r="AJ399" s="115">
        <v>1600000</v>
      </c>
      <c r="AK399" s="20">
        <v>0</v>
      </c>
      <c r="AL399" s="20">
        <f t="shared" si="89"/>
        <v>540</v>
      </c>
      <c r="AM399" s="20">
        <f t="shared" si="90"/>
        <v>864000000</v>
      </c>
      <c r="AN399" s="20"/>
    </row>
    <row r="400" spans="16:45" ht="18" customHeight="1">
      <c r="Q400" s="97" t="s">
        <v>5166</v>
      </c>
      <c r="R400" s="93">
        <v>-2134406</v>
      </c>
      <c r="T400" s="19" t="s">
        <v>5628</v>
      </c>
      <c r="U400" s="19">
        <v>2349</v>
      </c>
      <c r="V400" s="115">
        <v>2639.970566</v>
      </c>
      <c r="W400" s="115">
        <f t="shared" si="88"/>
        <v>6201290.859534</v>
      </c>
      <c r="X400" s="264" t="s">
        <v>5639</v>
      </c>
      <c r="AH400" s="20">
        <v>114</v>
      </c>
      <c r="AI400" s="20" t="s">
        <v>4256</v>
      </c>
      <c r="AJ400" s="115">
        <v>-10000000</v>
      </c>
      <c r="AK400" s="20">
        <v>1</v>
      </c>
      <c r="AL400" s="20">
        <f t="shared" si="89"/>
        <v>540</v>
      </c>
      <c r="AM400" s="20">
        <f t="shared" si="90"/>
        <v>-5400000000</v>
      </c>
      <c r="AN400" s="20" t="s">
        <v>5144</v>
      </c>
    </row>
    <row r="401" spans="17:45" ht="21" customHeight="1">
      <c r="Q401" s="97" t="s">
        <v>5169</v>
      </c>
      <c r="R401" s="93">
        <v>-618906</v>
      </c>
      <c r="T401" s="19" t="s">
        <v>5628</v>
      </c>
      <c r="U401" s="19">
        <v>-568</v>
      </c>
      <c r="V401" s="115">
        <v>2639.970566</v>
      </c>
      <c r="W401" s="115">
        <f t="shared" si="88"/>
        <v>-1499503.2814879999</v>
      </c>
      <c r="X401" s="264" t="s">
        <v>5640</v>
      </c>
      <c r="Y401" t="s">
        <v>25</v>
      </c>
      <c r="AD401" t="s">
        <v>25</v>
      </c>
      <c r="AH401" s="20">
        <v>115</v>
      </c>
      <c r="AI401" s="20" t="s">
        <v>5143</v>
      </c>
      <c r="AJ401" s="115">
        <v>571000</v>
      </c>
      <c r="AK401" s="20">
        <v>4</v>
      </c>
      <c r="AL401" s="20">
        <f t="shared" si="89"/>
        <v>539</v>
      </c>
      <c r="AM401" s="20">
        <f t="shared" si="90"/>
        <v>307769000</v>
      </c>
      <c r="AN401" s="20"/>
    </row>
    <row r="402" spans="17:45" ht="30">
      <c r="Q402" s="97" t="s">
        <v>5211</v>
      </c>
      <c r="R402" s="93">
        <v>-54615</v>
      </c>
      <c r="T402" s="19" t="s">
        <v>5628</v>
      </c>
      <c r="U402" s="19">
        <v>568</v>
      </c>
      <c r="V402" s="115">
        <v>2639.970566</v>
      </c>
      <c r="W402" s="115">
        <f t="shared" si="88"/>
        <v>1499503.2814879999</v>
      </c>
      <c r="X402" s="264" t="s">
        <v>5640</v>
      </c>
      <c r="AH402" s="20">
        <v>116</v>
      </c>
      <c r="AI402" s="20" t="s">
        <v>5145</v>
      </c>
      <c r="AJ402" s="115">
        <v>200000</v>
      </c>
      <c r="AK402" s="20">
        <v>3</v>
      </c>
      <c r="AL402" s="20">
        <f t="shared" ref="AL402:AL413" si="91">AK402+AL403</f>
        <v>535</v>
      </c>
      <c r="AM402" s="20">
        <f t="shared" ref="AM402:AM413" si="92">AJ402*AL402</f>
        <v>107000000</v>
      </c>
      <c r="AN402" s="20"/>
      <c r="AS402" t="s">
        <v>25</v>
      </c>
    </row>
    <row r="403" spans="17:45">
      <c r="Q403" s="97" t="s">
        <v>5256</v>
      </c>
      <c r="R403" s="93">
        <v>18000000</v>
      </c>
      <c r="T403" s="19" t="s">
        <v>5631</v>
      </c>
      <c r="U403" s="19">
        <v>4589</v>
      </c>
      <c r="V403" s="115">
        <v>2639.970566</v>
      </c>
      <c r="W403" s="115">
        <f t="shared" si="88"/>
        <v>12114824.927374</v>
      </c>
      <c r="X403" s="264" t="s">
        <v>5641</v>
      </c>
      <c r="Y403" t="s">
        <v>25</v>
      </c>
      <c r="AH403" s="147">
        <v>117</v>
      </c>
      <c r="AI403" s="147" t="s">
        <v>5151</v>
      </c>
      <c r="AJ403" s="186">
        <v>50000</v>
      </c>
      <c r="AK403" s="147">
        <v>7</v>
      </c>
      <c r="AL403" s="147">
        <f t="shared" si="91"/>
        <v>532</v>
      </c>
      <c r="AM403" s="147">
        <f t="shared" si="92"/>
        <v>26600000</v>
      </c>
      <c r="AN403" s="147"/>
    </row>
    <row r="404" spans="17:45">
      <c r="Q404" s="97" t="s">
        <v>5263</v>
      </c>
      <c r="R404" s="93">
        <v>20000000</v>
      </c>
      <c r="T404" s="19" t="s">
        <v>5631</v>
      </c>
      <c r="U404" s="19">
        <v>41959</v>
      </c>
      <c r="V404" s="115">
        <v>2639.970566</v>
      </c>
      <c r="W404" s="115">
        <f t="shared" ref="W404:W503" si="93">U404*V404</f>
        <v>110770524.97879399</v>
      </c>
      <c r="X404" s="264" t="s">
        <v>5116</v>
      </c>
      <c r="AH404" s="20">
        <v>118</v>
      </c>
      <c r="AI404" s="20" t="s">
        <v>5159</v>
      </c>
      <c r="AJ404" s="115">
        <v>-500000</v>
      </c>
      <c r="AK404" s="20">
        <v>12</v>
      </c>
      <c r="AL404" s="20">
        <f t="shared" si="91"/>
        <v>525</v>
      </c>
      <c r="AM404" s="20">
        <f t="shared" si="92"/>
        <v>-262500000</v>
      </c>
      <c r="AN404" s="20"/>
    </row>
    <row r="405" spans="17:45">
      <c r="Q405" s="97" t="s">
        <v>5338</v>
      </c>
      <c r="R405" s="93">
        <v>27694196</v>
      </c>
      <c r="T405" s="19" t="s">
        <v>5643</v>
      </c>
      <c r="U405" s="19">
        <v>2486</v>
      </c>
      <c r="V405" s="115">
        <v>2688.7156100000002</v>
      </c>
      <c r="W405" s="115">
        <f t="shared" si="93"/>
        <v>6684147.0064600008</v>
      </c>
      <c r="X405" s="264" t="s">
        <v>5116</v>
      </c>
      <c r="AH405" s="147">
        <v>119</v>
      </c>
      <c r="AI405" s="147" t="s">
        <v>976</v>
      </c>
      <c r="AJ405" s="186">
        <v>-50000</v>
      </c>
      <c r="AK405" s="147">
        <v>0</v>
      </c>
      <c r="AL405" s="147">
        <f t="shared" si="91"/>
        <v>513</v>
      </c>
      <c r="AM405" s="147">
        <f t="shared" si="92"/>
        <v>-25650000</v>
      </c>
      <c r="AN405" s="147"/>
    </row>
    <row r="406" spans="17:45">
      <c r="Q406" s="97" t="s">
        <v>5339</v>
      </c>
      <c r="R406" s="93">
        <v>7211722</v>
      </c>
      <c r="T406" s="19" t="s">
        <v>5646</v>
      </c>
      <c r="U406" s="19">
        <v>652</v>
      </c>
      <c r="V406" s="115">
        <v>2801.4344030000002</v>
      </c>
      <c r="W406" s="115">
        <f t="shared" si="93"/>
        <v>1826535.2307560001</v>
      </c>
      <c r="X406" s="264" t="s">
        <v>5116</v>
      </c>
      <c r="AH406" s="20">
        <v>120</v>
      </c>
      <c r="AI406" s="20" t="s">
        <v>976</v>
      </c>
      <c r="AJ406" s="115">
        <v>-50000</v>
      </c>
      <c r="AK406" s="20">
        <v>28</v>
      </c>
      <c r="AL406" s="20">
        <f t="shared" si="91"/>
        <v>513</v>
      </c>
      <c r="AM406" s="20">
        <f t="shared" si="92"/>
        <v>-25650000</v>
      </c>
      <c r="AN406" s="20"/>
    </row>
    <row r="407" spans="17:45">
      <c r="Q407" s="97" t="s">
        <v>5343</v>
      </c>
      <c r="R407" s="93">
        <v>8481864</v>
      </c>
      <c r="T407" s="187" t="s">
        <v>5646</v>
      </c>
      <c r="U407" s="187">
        <v>-536</v>
      </c>
      <c r="V407" s="186">
        <v>2801.4344030000002</v>
      </c>
      <c r="W407" s="186">
        <f t="shared" si="93"/>
        <v>-1501568.8400080001</v>
      </c>
      <c r="X407" s="263" t="s">
        <v>5659</v>
      </c>
      <c r="AH407" s="20">
        <v>121</v>
      </c>
      <c r="AI407" s="20" t="s">
        <v>5200</v>
      </c>
      <c r="AJ407" s="115">
        <v>-3020625</v>
      </c>
      <c r="AK407" s="20">
        <v>18</v>
      </c>
      <c r="AL407" s="20">
        <f t="shared" si="91"/>
        <v>485</v>
      </c>
      <c r="AM407" s="20">
        <f t="shared" si="92"/>
        <v>-1465003125</v>
      </c>
      <c r="AN407" s="20"/>
    </row>
    <row r="408" spans="17:45">
      <c r="Q408" s="97" t="s">
        <v>5348</v>
      </c>
      <c r="R408" s="93">
        <v>1558697</v>
      </c>
      <c r="T408" s="19" t="s">
        <v>5650</v>
      </c>
      <c r="U408" s="19">
        <v>1351</v>
      </c>
      <c r="V408" s="115">
        <v>2647.94</v>
      </c>
      <c r="W408" s="115">
        <f t="shared" si="93"/>
        <v>3577366.94</v>
      </c>
      <c r="X408" s="264" t="s">
        <v>5116</v>
      </c>
      <c r="AH408" s="20">
        <v>122</v>
      </c>
      <c r="AI408" s="20" t="s">
        <v>5211</v>
      </c>
      <c r="AJ408" s="115">
        <v>18000000</v>
      </c>
      <c r="AK408" s="20">
        <v>19</v>
      </c>
      <c r="AL408" s="20">
        <f t="shared" si="91"/>
        <v>467</v>
      </c>
      <c r="AM408" s="20">
        <f t="shared" si="92"/>
        <v>8406000000</v>
      </c>
      <c r="AN408" s="20"/>
    </row>
    <row r="409" spans="17:45">
      <c r="Q409" s="97" t="s">
        <v>5349</v>
      </c>
      <c r="R409" s="93">
        <v>9042009</v>
      </c>
      <c r="S409" t="s">
        <v>25</v>
      </c>
      <c r="T409" s="19" t="s">
        <v>5652</v>
      </c>
      <c r="U409" s="19">
        <v>8402</v>
      </c>
      <c r="V409" s="115">
        <v>2527.8539839999999</v>
      </c>
      <c r="W409" s="115">
        <f t="shared" si="93"/>
        <v>21239029.173567999</v>
      </c>
      <c r="X409" s="264" t="s">
        <v>5116</v>
      </c>
      <c r="AH409" s="20">
        <v>123</v>
      </c>
      <c r="AI409" s="20" t="s">
        <v>5238</v>
      </c>
      <c r="AJ409" s="115">
        <v>2000000</v>
      </c>
      <c r="AK409" s="20">
        <v>6</v>
      </c>
      <c r="AL409" s="20">
        <f t="shared" si="91"/>
        <v>448</v>
      </c>
      <c r="AM409" s="20">
        <f t="shared" si="92"/>
        <v>896000000</v>
      </c>
      <c r="AN409" s="20"/>
    </row>
    <row r="410" spans="17:45">
      <c r="Q410" s="97" t="s">
        <v>5353</v>
      </c>
      <c r="R410" s="93">
        <v>94969</v>
      </c>
      <c r="T410" s="19" t="s">
        <v>5656</v>
      </c>
      <c r="U410" s="19">
        <v>98141</v>
      </c>
      <c r="V410" s="115">
        <v>2475.593813</v>
      </c>
      <c r="W410" s="115">
        <f t="shared" si="93"/>
        <v>242957252.40163299</v>
      </c>
      <c r="X410" s="264" t="s">
        <v>5116</v>
      </c>
      <c r="AH410" s="147">
        <v>124</v>
      </c>
      <c r="AI410" s="147" t="s">
        <v>5247</v>
      </c>
      <c r="AJ410" s="186">
        <v>40000000</v>
      </c>
      <c r="AK410" s="147">
        <v>6</v>
      </c>
      <c r="AL410" s="147">
        <f t="shared" si="91"/>
        <v>442</v>
      </c>
      <c r="AM410" s="147">
        <f t="shared" si="92"/>
        <v>17680000000</v>
      </c>
      <c r="AN410" s="147"/>
    </row>
    <row r="411" spans="17:45">
      <c r="Q411" s="97" t="s">
        <v>5353</v>
      </c>
      <c r="R411" s="93">
        <v>40000000</v>
      </c>
      <c r="T411" s="19" t="s">
        <v>5660</v>
      </c>
      <c r="U411" s="19">
        <v>2910</v>
      </c>
      <c r="V411" s="115">
        <v>2528.240988</v>
      </c>
      <c r="W411" s="115">
        <f t="shared" si="93"/>
        <v>7357181.2750800001</v>
      </c>
      <c r="X411" s="264" t="s">
        <v>5116</v>
      </c>
      <c r="Z411" t="s">
        <v>25</v>
      </c>
      <c r="AH411" s="20">
        <v>125</v>
      </c>
      <c r="AI411" s="20" t="s">
        <v>5256</v>
      </c>
      <c r="AJ411" s="115">
        <v>200000</v>
      </c>
      <c r="AK411" s="20">
        <v>0</v>
      </c>
      <c r="AL411" s="20">
        <f t="shared" si="91"/>
        <v>436</v>
      </c>
      <c r="AM411" s="20">
        <f t="shared" si="92"/>
        <v>87200000</v>
      </c>
      <c r="AN411" s="20"/>
    </row>
    <row r="412" spans="17:45">
      <c r="Q412" s="97" t="s">
        <v>5354</v>
      </c>
      <c r="R412" s="93">
        <v>2806274</v>
      </c>
      <c r="T412" s="19" t="s">
        <v>5662</v>
      </c>
      <c r="U412" s="19">
        <v>5652</v>
      </c>
      <c r="V412" s="115">
        <v>2645.3312000000001</v>
      </c>
      <c r="W412" s="115">
        <f t="shared" si="93"/>
        <v>14951411.942400001</v>
      </c>
      <c r="X412" s="264" t="s">
        <v>5116</v>
      </c>
      <c r="AH412" s="147">
        <v>126</v>
      </c>
      <c r="AI412" s="147" t="s">
        <v>5256</v>
      </c>
      <c r="AJ412" s="186">
        <v>200000</v>
      </c>
      <c r="AK412" s="147">
        <v>1</v>
      </c>
      <c r="AL412" s="147">
        <f t="shared" si="91"/>
        <v>436</v>
      </c>
      <c r="AM412" s="147">
        <f t="shared" si="92"/>
        <v>87200000</v>
      </c>
      <c r="AN412" s="147"/>
    </row>
    <row r="413" spans="17:45">
      <c r="Q413" s="97" t="s">
        <v>5362</v>
      </c>
      <c r="R413" s="93">
        <v>1331702</v>
      </c>
      <c r="T413" s="19" t="s">
        <v>5666</v>
      </c>
      <c r="U413" s="19">
        <v>18764</v>
      </c>
      <c r="V413" s="115">
        <v>2554.2639829999998</v>
      </c>
      <c r="W413" s="115">
        <f t="shared" si="93"/>
        <v>47928209.377011999</v>
      </c>
      <c r="X413" s="264" t="s">
        <v>5116</v>
      </c>
      <c r="AA413" t="s">
        <v>25</v>
      </c>
      <c r="AH413" s="20">
        <v>127</v>
      </c>
      <c r="AI413" s="20" t="s">
        <v>5259</v>
      </c>
      <c r="AJ413" s="115">
        <v>50000</v>
      </c>
      <c r="AK413" s="20">
        <v>4</v>
      </c>
      <c r="AL413" s="20">
        <f t="shared" si="91"/>
        <v>435</v>
      </c>
      <c r="AM413" s="20">
        <f t="shared" si="92"/>
        <v>21750000</v>
      </c>
      <c r="AN413" s="20"/>
      <c r="AR413" t="s">
        <v>25</v>
      </c>
    </row>
    <row r="414" spans="17:45">
      <c r="Q414" s="97" t="s">
        <v>5396</v>
      </c>
      <c r="R414" s="93">
        <v>851238</v>
      </c>
      <c r="T414" s="19" t="s">
        <v>5668</v>
      </c>
      <c r="U414" s="19">
        <v>930</v>
      </c>
      <c r="V414" s="115">
        <v>2453.3287089999999</v>
      </c>
      <c r="W414" s="115">
        <f t="shared" si="93"/>
        <v>2281595.69937</v>
      </c>
      <c r="X414" s="264" t="s">
        <v>5116</v>
      </c>
      <c r="AH414" s="20">
        <v>128</v>
      </c>
      <c r="AI414" s="20" t="s">
        <v>5261</v>
      </c>
      <c r="AJ414" s="115">
        <v>100000</v>
      </c>
      <c r="AK414" s="20">
        <v>9</v>
      </c>
      <c r="AL414" s="20">
        <f t="shared" ref="AL414:AL424" si="94">AK414+AL415</f>
        <v>431</v>
      </c>
      <c r="AM414" s="20">
        <f t="shared" ref="AM414:AM424" si="95">AJ414*AL414</f>
        <v>43100000</v>
      </c>
      <c r="AN414" s="20"/>
    </row>
    <row r="415" spans="17:45">
      <c r="Q415" s="97" t="s">
        <v>5441</v>
      </c>
      <c r="R415" s="93">
        <v>652592</v>
      </c>
      <c r="T415" s="19" t="s">
        <v>5670</v>
      </c>
      <c r="U415" s="19">
        <v>1167</v>
      </c>
      <c r="V415" s="115">
        <v>2540.6307069999998</v>
      </c>
      <c r="W415" s="115">
        <f t="shared" si="93"/>
        <v>2964916.035069</v>
      </c>
      <c r="X415" s="264" t="s">
        <v>5116</v>
      </c>
      <c r="AA415" t="s">
        <v>25</v>
      </c>
      <c r="AH415" s="20">
        <v>129</v>
      </c>
      <c r="AI415" s="20" t="s">
        <v>5277</v>
      </c>
      <c r="AJ415" s="115">
        <v>-550000</v>
      </c>
      <c r="AK415" s="20">
        <v>5</v>
      </c>
      <c r="AL415" s="20">
        <f t="shared" si="94"/>
        <v>422</v>
      </c>
      <c r="AM415" s="20">
        <f t="shared" si="95"/>
        <v>-232100000</v>
      </c>
      <c r="AN415" s="20"/>
      <c r="AS415" t="s">
        <v>25</v>
      </c>
    </row>
    <row r="416" spans="17:45">
      <c r="Q416" s="97" t="s">
        <v>5442</v>
      </c>
      <c r="R416" s="93">
        <v>554139</v>
      </c>
      <c r="T416" s="19" t="s">
        <v>5671</v>
      </c>
      <c r="U416" s="19">
        <v>2538</v>
      </c>
      <c r="V416" s="115">
        <v>2545.5277489999999</v>
      </c>
      <c r="W416" s="115">
        <f t="shared" si="93"/>
        <v>6460549.4269619994</v>
      </c>
      <c r="X416" s="264" t="s">
        <v>5116</v>
      </c>
      <c r="Z416" t="s">
        <v>25</v>
      </c>
      <c r="AA416" t="s">
        <v>25</v>
      </c>
      <c r="AH416" s="20">
        <v>130</v>
      </c>
      <c r="AI416" s="20" t="s">
        <v>5282</v>
      </c>
      <c r="AJ416" s="115">
        <v>-29686490</v>
      </c>
      <c r="AK416" s="20">
        <v>1</v>
      </c>
      <c r="AL416" s="20">
        <f t="shared" si="94"/>
        <v>417</v>
      </c>
      <c r="AM416" s="20">
        <f t="shared" si="95"/>
        <v>-12379266330</v>
      </c>
      <c r="AN416" s="20"/>
    </row>
    <row r="417" spans="17:45">
      <c r="Q417" s="97" t="s">
        <v>5443</v>
      </c>
      <c r="R417" s="93">
        <v>70373089</v>
      </c>
      <c r="T417" s="19" t="s">
        <v>5673</v>
      </c>
      <c r="U417" s="19">
        <v>2106</v>
      </c>
      <c r="V417" s="115">
        <v>2474.9857059999999</v>
      </c>
      <c r="W417" s="115">
        <f t="shared" si="93"/>
        <v>5212319.8968359996</v>
      </c>
      <c r="X417" s="264" t="s">
        <v>5116</v>
      </c>
      <c r="AH417" s="20">
        <v>131</v>
      </c>
      <c r="AI417" s="20" t="s">
        <v>5290</v>
      </c>
      <c r="AJ417" s="115">
        <v>-9000000</v>
      </c>
      <c r="AK417" s="20">
        <v>8</v>
      </c>
      <c r="AL417" s="20">
        <f t="shared" si="94"/>
        <v>416</v>
      </c>
      <c r="AM417" s="20">
        <f t="shared" si="95"/>
        <v>-3744000000</v>
      </c>
      <c r="AN417" s="20"/>
      <c r="AR417" t="s">
        <v>25</v>
      </c>
      <c r="AS417" t="s">
        <v>25</v>
      </c>
    </row>
    <row r="418" spans="17:45">
      <c r="Q418" s="97" t="s">
        <v>5444</v>
      </c>
      <c r="R418" s="93">
        <v>1219655</v>
      </c>
      <c r="T418" s="19" t="s">
        <v>5676</v>
      </c>
      <c r="U418" s="19">
        <v>1801</v>
      </c>
      <c r="V418" s="115">
        <v>2512.2134809999998</v>
      </c>
      <c r="W418" s="115">
        <f t="shared" si="93"/>
        <v>4524496.4792809999</v>
      </c>
      <c r="X418" s="264" t="s">
        <v>5116</v>
      </c>
      <c r="AH418" s="20">
        <v>132</v>
      </c>
      <c r="AI418" s="20" t="s">
        <v>5334</v>
      </c>
      <c r="AJ418" s="115">
        <v>810000</v>
      </c>
      <c r="AK418" s="20">
        <v>2</v>
      </c>
      <c r="AL418" s="20">
        <f t="shared" si="94"/>
        <v>408</v>
      </c>
      <c r="AM418" s="20">
        <f t="shared" si="95"/>
        <v>330480000</v>
      </c>
      <c r="AN418" s="20"/>
    </row>
    <row r="419" spans="17:45">
      <c r="Q419" s="97" t="s">
        <v>5445</v>
      </c>
      <c r="R419" s="93">
        <v>15350146</v>
      </c>
      <c r="T419" s="19" t="s">
        <v>5678</v>
      </c>
      <c r="U419" s="19">
        <v>9184</v>
      </c>
      <c r="V419" s="115">
        <v>2489.76919</v>
      </c>
      <c r="W419" s="115">
        <f t="shared" si="93"/>
        <v>22866040.240959998</v>
      </c>
      <c r="X419" s="264" t="s">
        <v>5116</v>
      </c>
      <c r="AH419" s="20">
        <v>133</v>
      </c>
      <c r="AI419" s="20" t="s">
        <v>5339</v>
      </c>
      <c r="AJ419" s="115">
        <v>-5000000</v>
      </c>
      <c r="AK419" s="20">
        <v>3</v>
      </c>
      <c r="AL419" s="20">
        <f t="shared" si="94"/>
        <v>406</v>
      </c>
      <c r="AM419" s="20">
        <f t="shared" si="95"/>
        <v>-2030000000</v>
      </c>
      <c r="AN419" s="20"/>
    </row>
    <row r="420" spans="17:45">
      <c r="Q420" s="97" t="s">
        <v>5449</v>
      </c>
      <c r="R420" s="93">
        <v>121018</v>
      </c>
      <c r="T420" s="19" t="s">
        <v>5680</v>
      </c>
      <c r="U420" s="19">
        <v>6259</v>
      </c>
      <c r="V420" s="115">
        <v>2453.954988</v>
      </c>
      <c r="W420" s="115">
        <f t="shared" si="93"/>
        <v>15359304.269892</v>
      </c>
      <c r="X420" s="264" t="s">
        <v>5116</v>
      </c>
      <c r="Y420" t="s">
        <v>25</v>
      </c>
      <c r="AH420" s="20">
        <v>134</v>
      </c>
      <c r="AI420" s="20" t="s">
        <v>5343</v>
      </c>
      <c r="AJ420" s="115">
        <v>-26000000</v>
      </c>
      <c r="AK420" s="20">
        <v>0</v>
      </c>
      <c r="AL420" s="20">
        <f t="shared" si="94"/>
        <v>403</v>
      </c>
      <c r="AM420" s="20">
        <f t="shared" si="95"/>
        <v>-10478000000</v>
      </c>
      <c r="AN420" s="20"/>
      <c r="AR420" t="s">
        <v>25</v>
      </c>
    </row>
    <row r="421" spans="17:45">
      <c r="Q421" s="97" t="s">
        <v>5465</v>
      </c>
      <c r="R421" s="93">
        <v>1024993</v>
      </c>
      <c r="T421" s="19" t="s">
        <v>5682</v>
      </c>
      <c r="U421" s="19">
        <v>1223</v>
      </c>
      <c r="V421" s="115">
        <v>2345.4686710000001</v>
      </c>
      <c r="W421" s="115">
        <f t="shared" si="93"/>
        <v>2868508.1846330003</v>
      </c>
      <c r="X421" s="264" t="s">
        <v>5116</v>
      </c>
      <c r="AH421" s="242">
        <v>135</v>
      </c>
      <c r="AI421" s="242" t="s">
        <v>5343</v>
      </c>
      <c r="AJ421" s="233">
        <v>-26000000</v>
      </c>
      <c r="AK421" s="242">
        <v>1</v>
      </c>
      <c r="AL421" s="242">
        <f t="shared" si="94"/>
        <v>403</v>
      </c>
      <c r="AM421" s="242">
        <f t="shared" si="95"/>
        <v>-10478000000</v>
      </c>
      <c r="AN421" s="242"/>
    </row>
    <row r="422" spans="17:45">
      <c r="Q422" s="97" t="s">
        <v>5466</v>
      </c>
      <c r="R422" s="93">
        <v>1948077</v>
      </c>
      <c r="T422" s="19" t="s">
        <v>5683</v>
      </c>
      <c r="U422" s="19">
        <v>7804</v>
      </c>
      <c r="V422" s="115">
        <v>2236.0831640000001</v>
      </c>
      <c r="W422" s="115">
        <f t="shared" si="93"/>
        <v>17450393.011856001</v>
      </c>
      <c r="X422" s="264" t="s">
        <v>5116</v>
      </c>
      <c r="AH422" s="20">
        <v>136</v>
      </c>
      <c r="AI422" s="20" t="s">
        <v>5348</v>
      </c>
      <c r="AJ422" s="115">
        <v>-81800000</v>
      </c>
      <c r="AK422" s="20">
        <v>0</v>
      </c>
      <c r="AL422" s="20">
        <f t="shared" si="94"/>
        <v>402</v>
      </c>
      <c r="AM422" s="20">
        <f t="shared" si="95"/>
        <v>-32883600000</v>
      </c>
      <c r="AN422" s="20"/>
    </row>
    <row r="423" spans="17:45">
      <c r="Q423" s="97" t="s">
        <v>5467</v>
      </c>
      <c r="R423" s="93">
        <v>50000120</v>
      </c>
      <c r="T423" s="19" t="s">
        <v>5684</v>
      </c>
      <c r="U423" s="19">
        <v>14589</v>
      </c>
      <c r="V423" s="115">
        <v>2151.5486500000002</v>
      </c>
      <c r="W423" s="115">
        <f t="shared" si="93"/>
        <v>31388943.254850004</v>
      </c>
      <c r="X423" s="264" t="s">
        <v>5116</v>
      </c>
      <c r="AH423" s="242">
        <v>137</v>
      </c>
      <c r="AI423" s="242" t="s">
        <v>5348</v>
      </c>
      <c r="AJ423" s="233">
        <v>-110000000</v>
      </c>
      <c r="AK423" s="242">
        <v>1</v>
      </c>
      <c r="AL423" s="242">
        <f t="shared" si="94"/>
        <v>402</v>
      </c>
      <c r="AM423" s="242">
        <f t="shared" si="95"/>
        <v>-44220000000</v>
      </c>
      <c r="AN423" s="242"/>
    </row>
    <row r="424" spans="17:45">
      <c r="Q424" s="97" t="s">
        <v>5492</v>
      </c>
      <c r="R424" s="93">
        <v>20000055</v>
      </c>
      <c r="T424" s="19" t="s">
        <v>5685</v>
      </c>
      <c r="U424" s="19">
        <v>14741</v>
      </c>
      <c r="V424" s="115">
        <v>2097.0148140000001</v>
      </c>
      <c r="W424" s="115">
        <f t="shared" si="93"/>
        <v>30912095.373174001</v>
      </c>
      <c r="X424" s="264" t="s">
        <v>5116</v>
      </c>
      <c r="Y424" t="s">
        <v>25</v>
      </c>
      <c r="AH424" s="20">
        <v>138</v>
      </c>
      <c r="AI424" s="20" t="s">
        <v>5349</v>
      </c>
      <c r="AJ424" s="115">
        <v>-34000000</v>
      </c>
      <c r="AK424" s="20">
        <v>0</v>
      </c>
      <c r="AL424" s="20">
        <f t="shared" si="94"/>
        <v>401</v>
      </c>
      <c r="AM424" s="20">
        <f t="shared" si="95"/>
        <v>-13634000000</v>
      </c>
      <c r="AN424" s="20"/>
    </row>
    <row r="425" spans="17:45">
      <c r="Q425" s="97" t="s">
        <v>5493</v>
      </c>
      <c r="R425" s="93">
        <v>5745697</v>
      </c>
      <c r="T425" s="19" t="s">
        <v>5687</v>
      </c>
      <c r="U425" s="19">
        <v>10237</v>
      </c>
      <c r="V425" s="115">
        <v>1914.9092619999999</v>
      </c>
      <c r="W425" s="115">
        <f t="shared" si="93"/>
        <v>19602926.115093999</v>
      </c>
      <c r="X425" s="264" t="s">
        <v>5116</v>
      </c>
      <c r="Z425" t="s">
        <v>25</v>
      </c>
      <c r="AH425" s="147">
        <v>139</v>
      </c>
      <c r="AI425" s="147" t="s">
        <v>5349</v>
      </c>
      <c r="AJ425" s="186">
        <v>-23900000</v>
      </c>
      <c r="AK425" s="147">
        <v>5</v>
      </c>
      <c r="AL425" s="147">
        <f t="shared" ref="AL425:AL430" si="96">AK425+AL426</f>
        <v>401</v>
      </c>
      <c r="AM425" s="147">
        <f t="shared" ref="AM425:AM430" si="97">AJ425*AL425</f>
        <v>-9583900000</v>
      </c>
      <c r="AN425" s="147"/>
    </row>
    <row r="426" spans="17:45">
      <c r="Q426" s="97" t="s">
        <v>5494</v>
      </c>
      <c r="R426" s="93">
        <v>908158</v>
      </c>
      <c r="T426" s="19" t="s">
        <v>5691</v>
      </c>
      <c r="U426" s="19">
        <v>19211</v>
      </c>
      <c r="V426" s="115">
        <v>1793.6906100000001</v>
      </c>
      <c r="W426" s="115">
        <f t="shared" si="93"/>
        <v>34458590.308710001</v>
      </c>
      <c r="X426" s="264" t="s">
        <v>5116</v>
      </c>
      <c r="Z426" t="s">
        <v>25</v>
      </c>
      <c r="AH426" s="20">
        <v>140</v>
      </c>
      <c r="AI426" s="20" t="s">
        <v>5362</v>
      </c>
      <c r="AJ426" s="115">
        <v>1000000</v>
      </c>
      <c r="AK426" s="20">
        <v>0</v>
      </c>
      <c r="AL426" s="20">
        <f t="shared" si="96"/>
        <v>396</v>
      </c>
      <c r="AM426" s="20">
        <f t="shared" si="97"/>
        <v>396000000</v>
      </c>
      <c r="AN426" s="20"/>
    </row>
    <row r="427" spans="17:45">
      <c r="Q427" s="97" t="s">
        <v>5495</v>
      </c>
      <c r="R427" s="93">
        <v>12642697</v>
      </c>
      <c r="T427" s="19" t="s">
        <v>5693</v>
      </c>
      <c r="U427" s="19">
        <v>11599</v>
      </c>
      <c r="V427" s="115">
        <v>1870.667144</v>
      </c>
      <c r="W427" s="115">
        <f t="shared" si="93"/>
        <v>21697868.203256</v>
      </c>
      <c r="X427" s="264" t="s">
        <v>5116</v>
      </c>
      <c r="Y427" t="s">
        <v>25</v>
      </c>
      <c r="AH427" s="147">
        <v>141</v>
      </c>
      <c r="AI427" s="147" t="s">
        <v>5362</v>
      </c>
      <c r="AJ427" s="186">
        <v>1000000</v>
      </c>
      <c r="AK427" s="147">
        <v>4</v>
      </c>
      <c r="AL427" s="147">
        <f t="shared" si="96"/>
        <v>396</v>
      </c>
      <c r="AM427" s="147">
        <f t="shared" si="97"/>
        <v>396000000</v>
      </c>
      <c r="AN427" s="147"/>
    </row>
    <row r="428" spans="17:45">
      <c r="Q428" s="97" t="s">
        <v>5496</v>
      </c>
      <c r="R428" s="93">
        <v>12297317.81435</v>
      </c>
      <c r="T428" s="19" t="s">
        <v>5695</v>
      </c>
      <c r="U428" s="19">
        <v>14098</v>
      </c>
      <c r="V428" s="115">
        <v>1797.423695</v>
      </c>
      <c r="W428" s="115">
        <f t="shared" si="93"/>
        <v>25340079.252110001</v>
      </c>
      <c r="X428" s="264" t="s">
        <v>5116</v>
      </c>
      <c r="AH428" s="20">
        <v>142</v>
      </c>
      <c r="AI428" s="20" t="s">
        <v>5368</v>
      </c>
      <c r="AJ428" s="115">
        <v>400000</v>
      </c>
      <c r="AK428" s="20">
        <v>0</v>
      </c>
      <c r="AL428" s="20">
        <f t="shared" si="96"/>
        <v>392</v>
      </c>
      <c r="AM428" s="20">
        <f t="shared" si="97"/>
        <v>156800000</v>
      </c>
      <c r="AN428" s="20"/>
    </row>
    <row r="429" spans="17:45">
      <c r="Q429" s="97" t="s">
        <v>5497</v>
      </c>
      <c r="R429" s="93">
        <v>8959643.8508579992</v>
      </c>
      <c r="T429" s="19" t="s">
        <v>5696</v>
      </c>
      <c r="U429" s="19">
        <v>8497</v>
      </c>
      <c r="V429" s="115">
        <v>1739.5531579999999</v>
      </c>
      <c r="W429" s="115">
        <f t="shared" si="93"/>
        <v>14780983.183526</v>
      </c>
      <c r="X429" s="264" t="s">
        <v>5116</v>
      </c>
      <c r="AH429" s="147">
        <v>143</v>
      </c>
      <c r="AI429" s="147" t="s">
        <v>5368</v>
      </c>
      <c r="AJ429" s="186">
        <v>400000</v>
      </c>
      <c r="AK429" s="147">
        <v>35</v>
      </c>
      <c r="AL429" s="147">
        <f t="shared" si="96"/>
        <v>392</v>
      </c>
      <c r="AM429" s="147">
        <f t="shared" si="97"/>
        <v>156800000</v>
      </c>
      <c r="AN429" s="147"/>
    </row>
    <row r="430" spans="17:45" ht="30">
      <c r="Q430" s="97" t="s">
        <v>5512</v>
      </c>
      <c r="R430" s="93">
        <v>15154095.839328</v>
      </c>
      <c r="S430" t="s">
        <v>25</v>
      </c>
      <c r="T430" s="285" t="s">
        <v>5699</v>
      </c>
      <c r="U430" s="285">
        <v>163820</v>
      </c>
      <c r="V430" s="88">
        <v>1588.685326</v>
      </c>
      <c r="W430" s="88">
        <f t="shared" si="93"/>
        <v>260258430.10532001</v>
      </c>
      <c r="X430" s="304" t="s">
        <v>5702</v>
      </c>
      <c r="AH430" s="20">
        <v>144</v>
      </c>
      <c r="AI430" s="20" t="s">
        <v>5402</v>
      </c>
      <c r="AJ430" s="115">
        <v>3000000</v>
      </c>
      <c r="AK430" s="20">
        <v>0</v>
      </c>
      <c r="AL430" s="20">
        <f t="shared" si="96"/>
        <v>357</v>
      </c>
      <c r="AM430" s="20">
        <f t="shared" si="97"/>
        <v>1071000000</v>
      </c>
      <c r="AN430" s="20"/>
    </row>
    <row r="431" spans="17:45">
      <c r="Q431" s="97" t="s">
        <v>5513</v>
      </c>
      <c r="R431" s="93">
        <v>50725508.571864001</v>
      </c>
      <c r="T431" s="19" t="s">
        <v>5699</v>
      </c>
      <c r="U431" s="19">
        <v>11207</v>
      </c>
      <c r="V431" s="115">
        <v>1588.685326</v>
      </c>
      <c r="W431" s="115">
        <f t="shared" si="93"/>
        <v>17804396.448481999</v>
      </c>
      <c r="X431" s="264" t="s">
        <v>5116</v>
      </c>
      <c r="Y431" t="s">
        <v>25</v>
      </c>
      <c r="Z431" t="s">
        <v>25</v>
      </c>
      <c r="AH431" s="147">
        <v>145</v>
      </c>
      <c r="AI431" s="147" t="s">
        <v>5402</v>
      </c>
      <c r="AJ431" s="186">
        <v>2725000</v>
      </c>
      <c r="AK431" s="147">
        <v>19</v>
      </c>
      <c r="AL431" s="147">
        <f t="shared" ref="AL431:AL434" si="98">AK431+AL432</f>
        <v>357</v>
      </c>
      <c r="AM431" s="147">
        <f t="shared" ref="AM431:AM434" si="99">AJ431*AL431</f>
        <v>972825000</v>
      </c>
      <c r="AN431" s="147"/>
    </row>
    <row r="432" spans="17:45">
      <c r="Q432" s="97" t="s">
        <v>5520</v>
      </c>
      <c r="R432" s="93">
        <v>2281961.458596</v>
      </c>
      <c r="T432" s="19" t="s">
        <v>5703</v>
      </c>
      <c r="U432" s="19">
        <v>7198</v>
      </c>
      <c r="V432" s="115">
        <v>1602.9918909999999</v>
      </c>
      <c r="W432" s="115">
        <f t="shared" si="93"/>
        <v>11538335.631417999</v>
      </c>
      <c r="X432" s="264" t="s">
        <v>5116</v>
      </c>
      <c r="Y432" t="s">
        <v>25</v>
      </c>
      <c r="AH432" s="147">
        <v>146</v>
      </c>
      <c r="AI432" s="147" t="s">
        <v>5300</v>
      </c>
      <c r="AJ432" s="186">
        <v>-8644090</v>
      </c>
      <c r="AK432" s="147">
        <v>0</v>
      </c>
      <c r="AL432" s="147">
        <f t="shared" si="98"/>
        <v>338</v>
      </c>
      <c r="AM432" s="147">
        <f t="shared" si="99"/>
        <v>-2921702420</v>
      </c>
      <c r="AN432" s="147" t="s">
        <v>4737</v>
      </c>
    </row>
    <row r="433" spans="17:45">
      <c r="Q433" s="97" t="s">
        <v>5521</v>
      </c>
      <c r="R433" s="93">
        <v>10998285</v>
      </c>
      <c r="T433" s="19" t="s">
        <v>5704</v>
      </c>
      <c r="U433" s="19">
        <v>7804</v>
      </c>
      <c r="V433" s="115">
        <v>1592.7111440000001</v>
      </c>
      <c r="W433" s="115">
        <f t="shared" si="93"/>
        <v>12429517.767776001</v>
      </c>
      <c r="X433" s="264" t="s">
        <v>5116</v>
      </c>
      <c r="Z433" t="s">
        <v>25</v>
      </c>
      <c r="AH433" s="20">
        <v>147</v>
      </c>
      <c r="AI433" s="20" t="s">
        <v>5300</v>
      </c>
      <c r="AJ433" s="115">
        <v>-65461942</v>
      </c>
      <c r="AK433" s="20">
        <v>1</v>
      </c>
      <c r="AL433" s="20">
        <f t="shared" si="98"/>
        <v>338</v>
      </c>
      <c r="AM433" s="20">
        <f t="shared" si="99"/>
        <v>-22126136396</v>
      </c>
      <c r="AN433" s="20" t="s">
        <v>4737</v>
      </c>
    </row>
    <row r="434" spans="17:45">
      <c r="Q434" s="97" t="s">
        <v>5523</v>
      </c>
      <c r="R434" s="93">
        <v>983018.96187300002</v>
      </c>
      <c r="S434" t="s">
        <v>25</v>
      </c>
      <c r="T434" s="19" t="s">
        <v>5714</v>
      </c>
      <c r="U434" s="19">
        <v>2827</v>
      </c>
      <c r="V434" s="115">
        <v>1779.6874809999999</v>
      </c>
      <c r="W434" s="115">
        <f t="shared" si="93"/>
        <v>5031176.5087869996</v>
      </c>
      <c r="X434" s="264" t="s">
        <v>5116</v>
      </c>
      <c r="Y434" t="s">
        <v>25</v>
      </c>
      <c r="AH434" s="20">
        <v>148</v>
      </c>
      <c r="AI434" s="20" t="s">
        <v>5425</v>
      </c>
      <c r="AJ434" s="115">
        <v>35000000</v>
      </c>
      <c r="AK434" s="20">
        <v>15</v>
      </c>
      <c r="AL434" s="20">
        <f t="shared" si="98"/>
        <v>337</v>
      </c>
      <c r="AM434" s="20">
        <f t="shared" si="99"/>
        <v>11795000000</v>
      </c>
      <c r="AN434" s="20"/>
    </row>
    <row r="435" spans="17:45">
      <c r="Q435" s="97" t="s">
        <v>5526</v>
      </c>
      <c r="R435" s="93">
        <v>17049271.032000002</v>
      </c>
      <c r="T435" s="19" t="s">
        <v>5716</v>
      </c>
      <c r="U435" s="19">
        <v>3385</v>
      </c>
      <c r="V435" s="115">
        <v>2015.5993820000001</v>
      </c>
      <c r="W435" s="115">
        <f t="shared" si="93"/>
        <v>6822803.9080700008</v>
      </c>
      <c r="X435" s="264" t="s">
        <v>5116</v>
      </c>
      <c r="Y435" t="s">
        <v>25</v>
      </c>
      <c r="Z435" t="s">
        <v>25</v>
      </c>
      <c r="AH435" s="147">
        <v>149</v>
      </c>
      <c r="AI435" s="147" t="s">
        <v>5445</v>
      </c>
      <c r="AJ435" s="186">
        <v>1400000</v>
      </c>
      <c r="AK435" s="147">
        <v>0</v>
      </c>
      <c r="AL435" s="147">
        <f t="shared" ref="AL435:AL437" si="100">AK435+AL436</f>
        <v>322</v>
      </c>
      <c r="AM435" s="147">
        <f t="shared" ref="AM435:AM438" si="101">AJ435*AL435</f>
        <v>450800000</v>
      </c>
      <c r="AN435" s="147"/>
      <c r="AQ435" t="s">
        <v>25</v>
      </c>
    </row>
    <row r="436" spans="17:45">
      <c r="Q436" s="97" t="s">
        <v>4212</v>
      </c>
      <c r="R436" s="93">
        <v>6829998</v>
      </c>
      <c r="T436" s="19" t="s">
        <v>5720</v>
      </c>
      <c r="U436" s="19">
        <v>158</v>
      </c>
      <c r="V436" s="115">
        <v>2094.2388179999998</v>
      </c>
      <c r="W436" s="115">
        <f t="shared" si="93"/>
        <v>330889.73324399994</v>
      </c>
      <c r="X436" s="264" t="s">
        <v>5116</v>
      </c>
      <c r="Y436" t="s">
        <v>25</v>
      </c>
      <c r="AH436" s="20">
        <v>150</v>
      </c>
      <c r="AI436" s="20" t="s">
        <v>5445</v>
      </c>
      <c r="AJ436" s="115">
        <v>1600000</v>
      </c>
      <c r="AK436" s="20">
        <v>1</v>
      </c>
      <c r="AL436" s="20">
        <f t="shared" si="100"/>
        <v>322</v>
      </c>
      <c r="AM436" s="20">
        <f t="shared" si="101"/>
        <v>515200000</v>
      </c>
      <c r="AN436" s="20"/>
    </row>
    <row r="437" spans="17:45">
      <c r="Q437" s="97" t="s">
        <v>5547</v>
      </c>
      <c r="R437" s="93">
        <v>6982608.8207999999</v>
      </c>
      <c r="T437" s="19" t="s">
        <v>965</v>
      </c>
      <c r="U437" s="19">
        <v>5033</v>
      </c>
      <c r="V437" s="115">
        <v>2229.4976999999999</v>
      </c>
      <c r="W437" s="115">
        <f t="shared" si="93"/>
        <v>11221061.924099999</v>
      </c>
      <c r="X437" s="264" t="s">
        <v>5726</v>
      </c>
      <c r="Z437" t="s">
        <v>25</v>
      </c>
      <c r="AH437" s="147">
        <v>151</v>
      </c>
      <c r="AI437" s="147" t="s">
        <v>5448</v>
      </c>
      <c r="AJ437" s="186">
        <v>600000</v>
      </c>
      <c r="AK437" s="147">
        <v>0</v>
      </c>
      <c r="AL437" s="147">
        <f t="shared" si="100"/>
        <v>321</v>
      </c>
      <c r="AM437" s="147">
        <f t="shared" si="101"/>
        <v>192600000</v>
      </c>
      <c r="AN437" s="147" t="s">
        <v>5450</v>
      </c>
    </row>
    <row r="438" spans="17:45">
      <c r="Q438" s="97" t="s">
        <v>5553</v>
      </c>
      <c r="R438" s="93">
        <v>7510131.0216000006</v>
      </c>
      <c r="T438" s="19" t="s">
        <v>5730</v>
      </c>
      <c r="U438" s="19">
        <v>2870</v>
      </c>
      <c r="V438" s="115">
        <v>2303.2467459999998</v>
      </c>
      <c r="W438" s="115">
        <f t="shared" si="93"/>
        <v>6610318.1610199995</v>
      </c>
      <c r="X438" s="264" t="s">
        <v>5116</v>
      </c>
      <c r="AH438" s="20">
        <v>152</v>
      </c>
      <c r="AI438" s="20" t="s">
        <v>5448</v>
      </c>
      <c r="AJ438" s="115">
        <v>600000</v>
      </c>
      <c r="AK438" s="20">
        <v>9</v>
      </c>
      <c r="AL438" s="20">
        <f>AK438+AL439</f>
        <v>321</v>
      </c>
      <c r="AM438" s="20">
        <f t="shared" si="101"/>
        <v>192600000</v>
      </c>
      <c r="AN438" s="20" t="s">
        <v>5450</v>
      </c>
    </row>
    <row r="439" spans="17:45">
      <c r="Q439" s="97" t="s">
        <v>5562</v>
      </c>
      <c r="R439" s="93">
        <v>7278025.5327000003</v>
      </c>
      <c r="T439" s="19" t="s">
        <v>5731</v>
      </c>
      <c r="U439" s="19">
        <v>307</v>
      </c>
      <c r="V439" s="115">
        <v>2315.0266360000001</v>
      </c>
      <c r="W439" s="115">
        <f t="shared" si="93"/>
        <v>710713.17725199996</v>
      </c>
      <c r="X439" s="264" t="s">
        <v>5116</v>
      </c>
      <c r="AH439" s="20">
        <v>153</v>
      </c>
      <c r="AI439" s="20" t="s">
        <v>5467</v>
      </c>
      <c r="AJ439" s="115">
        <v>20000000</v>
      </c>
      <c r="AK439" s="20">
        <v>23</v>
      </c>
      <c r="AL439" s="20">
        <f t="shared" ref="AL439:AL440" si="102">AK439+AL440</f>
        <v>312</v>
      </c>
      <c r="AM439" s="20">
        <f t="shared" ref="AM439:AM441" si="103">AJ439*AL439</f>
        <v>6240000000</v>
      </c>
      <c r="AN439" s="20" t="s">
        <v>5483</v>
      </c>
      <c r="AS439" t="s">
        <v>25</v>
      </c>
    </row>
    <row r="440" spans="17:45" ht="30">
      <c r="Q440" s="97" t="s">
        <v>5567</v>
      </c>
      <c r="R440" s="93">
        <v>195059.35799999998</v>
      </c>
      <c r="T440" s="19" t="s">
        <v>5733</v>
      </c>
      <c r="U440" s="19">
        <v>35</v>
      </c>
      <c r="V440" s="115">
        <v>2315</v>
      </c>
      <c r="W440" s="115">
        <f t="shared" si="93"/>
        <v>81025</v>
      </c>
      <c r="X440" s="264" t="s">
        <v>5735</v>
      </c>
      <c r="Y440" s="112"/>
      <c r="AH440" s="20">
        <v>154</v>
      </c>
      <c r="AI440" s="20" t="s">
        <v>5504</v>
      </c>
      <c r="AJ440" s="115">
        <v>-46183500</v>
      </c>
      <c r="AK440" s="20">
        <v>0</v>
      </c>
      <c r="AL440" s="20">
        <f t="shared" si="102"/>
        <v>289</v>
      </c>
      <c r="AM440" s="20">
        <f t="shared" si="103"/>
        <v>-13347031500</v>
      </c>
      <c r="AN440" s="20" t="s">
        <v>4865</v>
      </c>
    </row>
    <row r="441" spans="17:45">
      <c r="Q441" s="97" t="s">
        <v>5569</v>
      </c>
      <c r="R441" s="93">
        <v>862577.83200000005</v>
      </c>
      <c r="T441" s="19" t="s">
        <v>5736</v>
      </c>
      <c r="U441" s="19">
        <v>94</v>
      </c>
      <c r="V441" s="115">
        <v>2337.1980119999998</v>
      </c>
      <c r="W441" s="115">
        <f t="shared" si="93"/>
        <v>219696.613128</v>
      </c>
      <c r="X441" s="264" t="s">
        <v>5116</v>
      </c>
      <c r="Y441" t="s">
        <v>25</v>
      </c>
      <c r="Z441" t="s">
        <v>25</v>
      </c>
      <c r="AH441" s="147">
        <v>155</v>
      </c>
      <c r="AI441" s="147" t="s">
        <v>5504</v>
      </c>
      <c r="AJ441" s="186">
        <v>-1812800</v>
      </c>
      <c r="AK441" s="147">
        <v>2</v>
      </c>
      <c r="AL441" s="147">
        <f>AK441+AL442</f>
        <v>289</v>
      </c>
      <c r="AM441" s="147">
        <f t="shared" si="103"/>
        <v>-523899200</v>
      </c>
      <c r="AN441" s="147" t="s">
        <v>4865</v>
      </c>
    </row>
    <row r="442" spans="17:45">
      <c r="Q442" s="97" t="s">
        <v>5570</v>
      </c>
      <c r="R442" s="93">
        <v>920308.446</v>
      </c>
      <c r="T442" s="19" t="s">
        <v>5737</v>
      </c>
      <c r="U442" s="19">
        <v>2534</v>
      </c>
      <c r="V442" s="115">
        <v>2381.7965300000001</v>
      </c>
      <c r="W442" s="115">
        <f t="shared" si="93"/>
        <v>6035472.4070199998</v>
      </c>
      <c r="X442" s="264" t="s">
        <v>5116</v>
      </c>
      <c r="AH442" s="20">
        <v>156</v>
      </c>
      <c r="AI442" s="20" t="s">
        <v>5508</v>
      </c>
      <c r="AJ442" s="115">
        <v>90000</v>
      </c>
      <c r="AK442" s="20">
        <v>0</v>
      </c>
      <c r="AL442" s="20">
        <f t="shared" ref="AL442:AL456" si="104">AK442+AL443</f>
        <v>287</v>
      </c>
      <c r="AM442" s="20">
        <f t="shared" ref="AM442:AM456" si="105">AJ442*AL442</f>
        <v>25830000</v>
      </c>
      <c r="AN442" s="20"/>
    </row>
    <row r="443" spans="17:45">
      <c r="Q443" s="97" t="s">
        <v>5572</v>
      </c>
      <c r="R443" s="93">
        <v>4635809.8416840006</v>
      </c>
      <c r="S443" t="s">
        <v>25</v>
      </c>
      <c r="T443" s="19" t="s">
        <v>5739</v>
      </c>
      <c r="U443" s="19">
        <v>424</v>
      </c>
      <c r="V443" s="115">
        <v>2321.9017680000002</v>
      </c>
      <c r="W443" s="115">
        <f t="shared" si="93"/>
        <v>984486.34963200008</v>
      </c>
      <c r="X443" s="264" t="s">
        <v>5116</v>
      </c>
      <c r="Z443" t="s">
        <v>25</v>
      </c>
      <c r="AH443" s="147">
        <v>157</v>
      </c>
      <c r="AI443" s="147" t="s">
        <v>5508</v>
      </c>
      <c r="AJ443" s="186">
        <v>60000</v>
      </c>
      <c r="AK443" s="147">
        <v>5</v>
      </c>
      <c r="AL443" s="147">
        <f t="shared" si="104"/>
        <v>287</v>
      </c>
      <c r="AM443" s="147">
        <f t="shared" si="105"/>
        <v>17220000</v>
      </c>
      <c r="AN443" s="147"/>
    </row>
    <row r="444" spans="17:45">
      <c r="Q444" s="97" t="s">
        <v>5601</v>
      </c>
      <c r="R444" s="93">
        <v>288892.40000000002</v>
      </c>
      <c r="T444" s="187" t="s">
        <v>5741</v>
      </c>
      <c r="U444" s="187">
        <v>-32</v>
      </c>
      <c r="V444" s="186">
        <v>2221.2123710000001</v>
      </c>
      <c r="W444" s="186">
        <f t="shared" si="93"/>
        <v>-71078.795872000002</v>
      </c>
      <c r="X444" s="263" t="s">
        <v>5745</v>
      </c>
      <c r="AH444" s="20">
        <v>158</v>
      </c>
      <c r="AI444" s="20" t="s">
        <v>5513</v>
      </c>
      <c r="AJ444" s="115">
        <v>50000000</v>
      </c>
      <c r="AK444" s="20">
        <v>29</v>
      </c>
      <c r="AL444" s="20">
        <f t="shared" si="104"/>
        <v>282</v>
      </c>
      <c r="AM444" s="20">
        <f t="shared" si="105"/>
        <v>14100000000</v>
      </c>
      <c r="AN444" s="20" t="s">
        <v>5515</v>
      </c>
      <c r="AR444" t="s">
        <v>25</v>
      </c>
    </row>
    <row r="445" spans="17:45">
      <c r="Q445" s="97" t="s">
        <v>5602</v>
      </c>
      <c r="R445" s="93">
        <v>58508002.009000003</v>
      </c>
      <c r="T445" s="19" t="s">
        <v>5741</v>
      </c>
      <c r="U445" s="19">
        <v>157</v>
      </c>
      <c r="V445" s="115">
        <v>2221.2123710000001</v>
      </c>
      <c r="W445" s="115">
        <f t="shared" si="93"/>
        <v>348730.34224700002</v>
      </c>
      <c r="X445" s="264" t="s">
        <v>5746</v>
      </c>
      <c r="AH445" s="20">
        <v>159</v>
      </c>
      <c r="AI445" s="20" t="s">
        <v>5572</v>
      </c>
      <c r="AJ445" s="115">
        <v>100000</v>
      </c>
      <c r="AK445" s="20">
        <v>1</v>
      </c>
      <c r="AL445" s="20">
        <f t="shared" si="104"/>
        <v>253</v>
      </c>
      <c r="AM445" s="20">
        <f t="shared" si="105"/>
        <v>25300000</v>
      </c>
      <c r="AN445" s="20"/>
    </row>
    <row r="446" spans="17:45">
      <c r="Q446" s="97" t="s">
        <v>5604</v>
      </c>
      <c r="R446" s="93">
        <v>2245515.5410799999</v>
      </c>
      <c r="T446" s="19" t="s">
        <v>5741</v>
      </c>
      <c r="U446" s="19">
        <v>965</v>
      </c>
      <c r="V446" s="115">
        <v>2221.2123710000001</v>
      </c>
      <c r="W446" s="115">
        <f t="shared" si="93"/>
        <v>2143469.938015</v>
      </c>
      <c r="X446" s="264" t="s">
        <v>5116</v>
      </c>
      <c r="AH446" s="147">
        <v>160</v>
      </c>
      <c r="AI446" s="147" t="s">
        <v>5561</v>
      </c>
      <c r="AJ446" s="186">
        <v>150000</v>
      </c>
      <c r="AK446" s="147">
        <v>0</v>
      </c>
      <c r="AL446" s="147">
        <f t="shared" si="104"/>
        <v>252</v>
      </c>
      <c r="AM446" s="147">
        <f t="shared" si="105"/>
        <v>37800000</v>
      </c>
      <c r="AN446" s="147"/>
      <c r="AQ446" t="s">
        <v>25</v>
      </c>
    </row>
    <row r="447" spans="17:45">
      <c r="Q447" s="97" t="s">
        <v>5604</v>
      </c>
      <c r="R447" s="93">
        <v>18404699.3442</v>
      </c>
      <c r="T447" s="187" t="s">
        <v>5748</v>
      </c>
      <c r="U447" s="187">
        <v>596</v>
      </c>
      <c r="V447" s="186">
        <v>2180.6765719999999</v>
      </c>
      <c r="W447" s="186">
        <f t="shared" si="93"/>
        <v>1299683.236912</v>
      </c>
      <c r="X447" s="263" t="s">
        <v>1071</v>
      </c>
      <c r="Y447" t="s">
        <v>25</v>
      </c>
      <c r="AH447" s="20">
        <v>161</v>
      </c>
      <c r="AI447" s="20" t="s">
        <v>5561</v>
      </c>
      <c r="AJ447" s="115">
        <v>-683050</v>
      </c>
      <c r="AK447" s="20">
        <v>7</v>
      </c>
      <c r="AL447" s="20">
        <f t="shared" si="104"/>
        <v>252</v>
      </c>
      <c r="AM447" s="20">
        <f t="shared" si="105"/>
        <v>-172128600</v>
      </c>
      <c r="AN447" s="20" t="s">
        <v>5575</v>
      </c>
    </row>
    <row r="448" spans="17:45">
      <c r="Q448" s="97" t="s">
        <v>5607</v>
      </c>
      <c r="R448" s="93">
        <v>48684800</v>
      </c>
      <c r="S448" t="s">
        <v>25</v>
      </c>
      <c r="T448" s="19" t="s">
        <v>5753</v>
      </c>
      <c r="U448" s="19">
        <v>1355</v>
      </c>
      <c r="V448" s="115">
        <v>2277.0926330000002</v>
      </c>
      <c r="W448" s="115">
        <f t="shared" si="93"/>
        <v>3085460.5177150001</v>
      </c>
      <c r="X448" s="264" t="s">
        <v>5116</v>
      </c>
      <c r="AH448" s="147">
        <v>162</v>
      </c>
      <c r="AI448" s="147" t="s">
        <v>5583</v>
      </c>
      <c r="AJ448" s="186">
        <v>200000</v>
      </c>
      <c r="AK448" s="147">
        <v>7</v>
      </c>
      <c r="AL448" s="147">
        <f t="shared" si="104"/>
        <v>245</v>
      </c>
      <c r="AM448" s="147">
        <f t="shared" si="105"/>
        <v>49000000</v>
      </c>
      <c r="AN448" s="147"/>
    </row>
    <row r="449" spans="17:44">
      <c r="Q449" s="97" t="s">
        <v>5609</v>
      </c>
      <c r="R449" s="93">
        <v>2264658.5922190002</v>
      </c>
      <c r="T449" s="19" t="s">
        <v>5755</v>
      </c>
      <c r="U449" s="19">
        <v>3742</v>
      </c>
      <c r="V449" s="115">
        <v>2207.7650429999999</v>
      </c>
      <c r="W449" s="115">
        <f t="shared" si="93"/>
        <v>8261456.790906</v>
      </c>
      <c r="X449" s="264" t="s">
        <v>5116</v>
      </c>
      <c r="Y449" t="s">
        <v>25</v>
      </c>
      <c r="AH449" s="147">
        <v>163</v>
      </c>
      <c r="AI449" s="147" t="s">
        <v>5588</v>
      </c>
      <c r="AJ449" s="186">
        <v>150000</v>
      </c>
      <c r="AK449" s="147">
        <v>5</v>
      </c>
      <c r="AL449" s="147">
        <f t="shared" si="104"/>
        <v>238</v>
      </c>
      <c r="AM449" s="147">
        <f t="shared" si="105"/>
        <v>35700000</v>
      </c>
      <c r="AN449" s="147"/>
      <c r="AR449" t="s">
        <v>25</v>
      </c>
    </row>
    <row r="450" spans="17:44">
      <c r="Q450" s="97" t="s">
        <v>5612</v>
      </c>
      <c r="R450" s="93">
        <v>22877413.789960001</v>
      </c>
      <c r="T450" s="19" t="s">
        <v>5757</v>
      </c>
      <c r="U450" s="19">
        <v>3216</v>
      </c>
      <c r="V450" s="115">
        <v>2043.648557</v>
      </c>
      <c r="W450" s="115">
        <f t="shared" si="93"/>
        <v>6572373.7593120001</v>
      </c>
      <c r="X450" s="264" t="s">
        <v>5116</v>
      </c>
      <c r="AH450" s="20">
        <v>164</v>
      </c>
      <c r="AI450" s="20" t="s">
        <v>5592</v>
      </c>
      <c r="AJ450" s="115">
        <v>320000</v>
      </c>
      <c r="AK450" s="20">
        <v>2</v>
      </c>
      <c r="AL450" s="20">
        <f t="shared" si="104"/>
        <v>233</v>
      </c>
      <c r="AM450" s="20">
        <f t="shared" si="105"/>
        <v>74560000</v>
      </c>
      <c r="AN450" s="20"/>
    </row>
    <row r="451" spans="17:44">
      <c r="Q451" s="97" t="s">
        <v>5613</v>
      </c>
      <c r="R451" s="93">
        <v>2362539.4373280001</v>
      </c>
      <c r="T451" s="187" t="s">
        <v>5760</v>
      </c>
      <c r="U451" s="187">
        <v>42393</v>
      </c>
      <c r="V451" s="186">
        <v>2124.4852740000001</v>
      </c>
      <c r="W451" s="186">
        <f t="shared" si="93"/>
        <v>90063304.22068201</v>
      </c>
      <c r="X451" s="263" t="s">
        <v>5761</v>
      </c>
      <c r="Y451" t="s">
        <v>25</v>
      </c>
      <c r="AF451" s="94" t="s">
        <v>25</v>
      </c>
      <c r="AH451" s="20">
        <v>165</v>
      </c>
      <c r="AI451" s="20" t="s">
        <v>5593</v>
      </c>
      <c r="AJ451" s="115">
        <v>200000</v>
      </c>
      <c r="AK451" s="20">
        <v>29</v>
      </c>
      <c r="AL451" s="20">
        <f t="shared" si="104"/>
        <v>231</v>
      </c>
      <c r="AM451" s="20">
        <f t="shared" si="105"/>
        <v>46200000</v>
      </c>
      <c r="AN451" s="20"/>
    </row>
    <row r="452" spans="17:44">
      <c r="Q452" s="97" t="s">
        <v>5614</v>
      </c>
      <c r="R452" s="93">
        <v>16042676.656608</v>
      </c>
      <c r="T452" s="19" t="s">
        <v>5762</v>
      </c>
      <c r="U452" s="19">
        <v>1307</v>
      </c>
      <c r="V452" s="115">
        <v>2213.652313</v>
      </c>
      <c r="W452" s="115">
        <f t="shared" si="93"/>
        <v>2893243.5730909999</v>
      </c>
      <c r="X452" s="264" t="s">
        <v>5116</v>
      </c>
      <c r="AH452" s="20">
        <v>166</v>
      </c>
      <c r="AI452" s="20" t="s">
        <v>5628</v>
      </c>
      <c r="AJ452" s="115">
        <v>4200000</v>
      </c>
      <c r="AK452" s="20">
        <v>0</v>
      </c>
      <c r="AL452" s="20">
        <f t="shared" si="104"/>
        <v>202</v>
      </c>
      <c r="AM452" s="20">
        <f t="shared" si="105"/>
        <v>848400000</v>
      </c>
      <c r="AN452" s="20"/>
    </row>
    <row r="453" spans="17:44">
      <c r="Q453" s="97" t="s">
        <v>5617</v>
      </c>
      <c r="R453" s="93">
        <v>18403291.448284</v>
      </c>
      <c r="T453" s="19" t="s">
        <v>5764</v>
      </c>
      <c r="U453" s="19">
        <v>44079</v>
      </c>
      <c r="V453" s="115">
        <v>2155.0411519999998</v>
      </c>
      <c r="W453" s="115">
        <f t="shared" si="93"/>
        <v>94992058.939007998</v>
      </c>
      <c r="X453" s="264" t="s">
        <v>5116</v>
      </c>
      <c r="Y453" t="s">
        <v>25</v>
      </c>
      <c r="Z453" t="s">
        <v>25</v>
      </c>
      <c r="AH453" s="147">
        <v>167</v>
      </c>
      <c r="AI453" s="147" t="s">
        <v>5628</v>
      </c>
      <c r="AJ453" s="186">
        <v>3300000</v>
      </c>
      <c r="AK453" s="147">
        <v>11</v>
      </c>
      <c r="AL453" s="147">
        <f t="shared" si="104"/>
        <v>202</v>
      </c>
      <c r="AM453" s="147">
        <f t="shared" si="105"/>
        <v>666600000</v>
      </c>
      <c r="AN453" s="147"/>
    </row>
    <row r="454" spans="17:44">
      <c r="Q454" s="97" t="s">
        <v>5618</v>
      </c>
      <c r="R454" s="93">
        <v>10561447.246918</v>
      </c>
      <c r="T454" s="19" t="s">
        <v>5770</v>
      </c>
      <c r="U454" s="19">
        <v>131</v>
      </c>
      <c r="V454" s="115">
        <v>2099.4040150000001</v>
      </c>
      <c r="W454" s="115">
        <f t="shared" si="93"/>
        <v>275021.925965</v>
      </c>
      <c r="X454" s="264" t="s">
        <v>5116</v>
      </c>
      <c r="Y454" t="s">
        <v>25</v>
      </c>
      <c r="AH454" s="147">
        <v>168</v>
      </c>
      <c r="AI454" s="147" t="s">
        <v>5652</v>
      </c>
      <c r="AJ454" s="186">
        <v>-1500000</v>
      </c>
      <c r="AK454" s="147">
        <v>42</v>
      </c>
      <c r="AL454" s="147">
        <f t="shared" si="104"/>
        <v>191</v>
      </c>
      <c r="AM454" s="147">
        <f t="shared" si="105"/>
        <v>-286500000</v>
      </c>
      <c r="AN454" s="147"/>
    </row>
    <row r="455" spans="17:44">
      <c r="Q455" s="97" t="s">
        <v>5619</v>
      </c>
      <c r="R455" s="93">
        <v>1226811.9176660001</v>
      </c>
      <c r="T455" s="19" t="s">
        <v>5777</v>
      </c>
      <c r="U455" s="19">
        <v>162</v>
      </c>
      <c r="V455" s="115">
        <v>2021.3081500000001</v>
      </c>
      <c r="W455" s="115">
        <f t="shared" si="93"/>
        <v>327451.9203</v>
      </c>
      <c r="X455" s="264" t="s">
        <v>5116</v>
      </c>
      <c r="Z455" t="s">
        <v>25</v>
      </c>
      <c r="AH455" s="20">
        <v>169</v>
      </c>
      <c r="AI455" s="20" t="s">
        <v>5699</v>
      </c>
      <c r="AJ455" s="115">
        <v>260000</v>
      </c>
      <c r="AK455" s="20">
        <v>22</v>
      </c>
      <c r="AL455" s="20">
        <f t="shared" si="104"/>
        <v>149</v>
      </c>
      <c r="AM455" s="20">
        <f t="shared" si="105"/>
        <v>38740000</v>
      </c>
      <c r="AN455" s="20"/>
    </row>
    <row r="456" spans="17:44">
      <c r="Q456" s="97" t="s">
        <v>5624</v>
      </c>
      <c r="R456" s="93">
        <v>39373959.190266006</v>
      </c>
      <c r="T456" s="19" t="s">
        <v>5789</v>
      </c>
      <c r="U456" s="19">
        <v>131</v>
      </c>
      <c r="V456" s="115">
        <v>1985.358328</v>
      </c>
      <c r="W456" s="115">
        <f t="shared" si="93"/>
        <v>260081.94096800001</v>
      </c>
      <c r="X456" s="264" t="s">
        <v>5116</v>
      </c>
      <c r="Z456" t="s">
        <v>25</v>
      </c>
      <c r="AH456" s="20">
        <v>170</v>
      </c>
      <c r="AI456" s="20" t="s">
        <v>5731</v>
      </c>
      <c r="AJ456" s="115">
        <v>20000</v>
      </c>
      <c r="AK456" s="20">
        <v>0</v>
      </c>
      <c r="AL456" s="20">
        <f t="shared" si="104"/>
        <v>127</v>
      </c>
      <c r="AM456" s="20">
        <f t="shared" si="105"/>
        <v>2540000</v>
      </c>
      <c r="AN456" s="20"/>
    </row>
    <row r="457" spans="17:44">
      <c r="Q457" s="97" t="s">
        <v>5625</v>
      </c>
      <c r="R457" s="93">
        <v>27703487.063980002</v>
      </c>
      <c r="T457" s="19" t="s">
        <v>5800</v>
      </c>
      <c r="U457" s="19">
        <v>1449</v>
      </c>
      <c r="V457" s="115">
        <v>2007.787806</v>
      </c>
      <c r="W457" s="115">
        <f t="shared" si="93"/>
        <v>2909284.5308940001</v>
      </c>
      <c r="X457" s="264" t="s">
        <v>5116</v>
      </c>
      <c r="Z457" t="s">
        <v>25</v>
      </c>
      <c r="AH457" s="192">
        <v>171</v>
      </c>
      <c r="AI457" s="192" t="s">
        <v>5731</v>
      </c>
      <c r="AJ457" s="193">
        <v>20000</v>
      </c>
      <c r="AK457" s="192">
        <v>7</v>
      </c>
      <c r="AL457" s="147">
        <f t="shared" ref="AL457:AL478" si="106">AK457+AL458</f>
        <v>127</v>
      </c>
      <c r="AM457" s="147">
        <f t="shared" ref="AM457:AM478" si="107">AJ457*AL457</f>
        <v>2540000</v>
      </c>
      <c r="AN457" s="192"/>
    </row>
    <row r="458" spans="17:44">
      <c r="Q458" s="97" t="s">
        <v>4185</v>
      </c>
      <c r="R458" s="93">
        <v>8738896.6890719999</v>
      </c>
      <c r="T458" s="19" t="s">
        <v>5801</v>
      </c>
      <c r="U458" s="19">
        <v>19028</v>
      </c>
      <c r="V458" s="115">
        <v>1982.5102529999999</v>
      </c>
      <c r="W458" s="115">
        <f t="shared" si="93"/>
        <v>37723205.094084002</v>
      </c>
      <c r="X458" s="264" t="s">
        <v>5116</v>
      </c>
      <c r="Y458" t="s">
        <v>25</v>
      </c>
      <c r="Z458" t="s">
        <v>25</v>
      </c>
      <c r="AH458" s="147">
        <v>172</v>
      </c>
      <c r="AI458" s="147" t="s">
        <v>5741</v>
      </c>
      <c r="AJ458" s="186">
        <v>70000</v>
      </c>
      <c r="AK458" s="147">
        <v>0</v>
      </c>
      <c r="AL458" s="147">
        <f t="shared" si="106"/>
        <v>120</v>
      </c>
      <c r="AM458" s="147">
        <f t="shared" si="107"/>
        <v>8400000</v>
      </c>
      <c r="AN458" s="147"/>
    </row>
    <row r="459" spans="17:44">
      <c r="Q459" s="97" t="s">
        <v>5627</v>
      </c>
      <c r="R459" s="93">
        <v>348201.66738</v>
      </c>
      <c r="T459" s="19" t="s">
        <v>5802</v>
      </c>
      <c r="U459" s="19">
        <v>848</v>
      </c>
      <c r="V459" s="115">
        <v>1768.97966</v>
      </c>
      <c r="W459" s="115">
        <f t="shared" si="93"/>
        <v>1500094.75168</v>
      </c>
      <c r="X459" s="264" t="s">
        <v>5116</v>
      </c>
      <c r="AH459" s="20">
        <v>173</v>
      </c>
      <c r="AI459" s="20" t="s">
        <v>5741</v>
      </c>
      <c r="AJ459" s="115">
        <v>70000</v>
      </c>
      <c r="AK459" s="20">
        <v>1</v>
      </c>
      <c r="AL459" s="20">
        <f t="shared" si="106"/>
        <v>120</v>
      </c>
      <c r="AM459" s="20">
        <f t="shared" si="107"/>
        <v>8400000</v>
      </c>
      <c r="AN459" s="20"/>
    </row>
    <row r="460" spans="17:44">
      <c r="Q460" s="97" t="s">
        <v>5631</v>
      </c>
      <c r="R460" s="93">
        <v>4158090.8935679998</v>
      </c>
      <c r="T460" s="19" t="s">
        <v>5803</v>
      </c>
      <c r="U460" s="19">
        <v>3824</v>
      </c>
      <c r="V460" s="115">
        <v>1890.8547169999999</v>
      </c>
      <c r="W460" s="115">
        <f t="shared" si="93"/>
        <v>7230628.4378079996</v>
      </c>
      <c r="X460" s="264" t="s">
        <v>5116</v>
      </c>
      <c r="AH460" s="20">
        <v>174</v>
      </c>
      <c r="AI460" s="20" t="s">
        <v>5748</v>
      </c>
      <c r="AJ460" s="115">
        <v>330000</v>
      </c>
      <c r="AK460" s="20">
        <v>0</v>
      </c>
      <c r="AL460" s="20">
        <f t="shared" si="106"/>
        <v>119</v>
      </c>
      <c r="AM460" s="20">
        <f t="shared" si="107"/>
        <v>39270000</v>
      </c>
      <c r="AN460" s="20"/>
    </row>
    <row r="461" spans="17:44">
      <c r="Q461" s="97" t="s">
        <v>5628</v>
      </c>
      <c r="R461" s="93">
        <v>110770524.97879399</v>
      </c>
      <c r="T461" s="19" t="s">
        <v>5805</v>
      </c>
      <c r="U461" s="19">
        <v>14010</v>
      </c>
      <c r="V461" s="115">
        <v>2124.7244390000001</v>
      </c>
      <c r="W461" s="115">
        <f t="shared" si="93"/>
        <v>29767389.390390001</v>
      </c>
      <c r="X461" s="264" t="s">
        <v>5116</v>
      </c>
      <c r="AA461" t="s">
        <v>25</v>
      </c>
      <c r="AH461" s="147">
        <v>175</v>
      </c>
      <c r="AI461" s="147" t="s">
        <v>5748</v>
      </c>
      <c r="AJ461" s="186">
        <v>330000</v>
      </c>
      <c r="AK461" s="147">
        <v>10</v>
      </c>
      <c r="AL461" s="147">
        <f t="shared" ref="AL461:AL465" si="108">AK461+AL462</f>
        <v>119</v>
      </c>
      <c r="AM461" s="147">
        <f t="shared" ref="AM461:AM466" si="109">AJ461*AL461</f>
        <v>39270000</v>
      </c>
      <c r="AN461" s="147"/>
    </row>
    <row r="462" spans="17:44">
      <c r="Q462" s="97" t="s">
        <v>5631</v>
      </c>
      <c r="R462" s="93">
        <v>17900000</v>
      </c>
      <c r="T462" s="19" t="s">
        <v>5806</v>
      </c>
      <c r="U462" s="19">
        <v>73</v>
      </c>
      <c r="V462" s="115">
        <v>2076.1678900000002</v>
      </c>
      <c r="W462" s="115">
        <f t="shared" si="93"/>
        <v>151560.25597</v>
      </c>
      <c r="X462" s="264" t="s">
        <v>5116</v>
      </c>
      <c r="AH462" s="147">
        <v>176</v>
      </c>
      <c r="AI462" s="147" t="s">
        <v>5760</v>
      </c>
      <c r="AJ462" s="186">
        <v>90000000</v>
      </c>
      <c r="AK462" s="147">
        <v>16</v>
      </c>
      <c r="AL462" s="147">
        <f t="shared" si="108"/>
        <v>109</v>
      </c>
      <c r="AM462" s="147">
        <f t="shared" si="109"/>
        <v>9810000000</v>
      </c>
      <c r="AN462" s="147"/>
    </row>
    <row r="463" spans="17:44">
      <c r="Q463" s="97" t="s">
        <v>5643</v>
      </c>
      <c r="R463" s="93">
        <v>12114824.927374</v>
      </c>
      <c r="T463" s="19" t="s">
        <v>5808</v>
      </c>
      <c r="U463" s="19">
        <v>236</v>
      </c>
      <c r="V463" s="115">
        <v>2039.4867830000001</v>
      </c>
      <c r="W463" s="115">
        <f t="shared" si="93"/>
        <v>481318.88078800001</v>
      </c>
      <c r="X463" s="264" t="s">
        <v>5116</v>
      </c>
      <c r="AH463" s="147">
        <v>177</v>
      </c>
      <c r="AI463" s="147" t="s">
        <v>5787</v>
      </c>
      <c r="AJ463" s="186">
        <v>-15000000</v>
      </c>
      <c r="AK463" s="147">
        <v>65</v>
      </c>
      <c r="AL463" s="147">
        <f t="shared" si="108"/>
        <v>93</v>
      </c>
      <c r="AM463" s="147">
        <f t="shared" si="109"/>
        <v>-1395000000</v>
      </c>
      <c r="AN463" s="147" t="s">
        <v>5788</v>
      </c>
    </row>
    <row r="464" spans="17:44">
      <c r="Q464" s="97" t="s">
        <v>5646</v>
      </c>
      <c r="R464" s="93">
        <v>6684147.0064600008</v>
      </c>
      <c r="T464" s="19" t="s">
        <v>5812</v>
      </c>
      <c r="U464" s="19">
        <v>75</v>
      </c>
      <c r="V464" s="115">
        <v>1950.3675760000001</v>
      </c>
      <c r="W464" s="115">
        <f t="shared" si="93"/>
        <v>146277.56820000001</v>
      </c>
      <c r="X464" s="264" t="s">
        <v>5116</v>
      </c>
      <c r="AH464" s="147">
        <v>178</v>
      </c>
      <c r="AI464" s="147" t="s">
        <v>5856</v>
      </c>
      <c r="AJ464" s="186">
        <v>33833075</v>
      </c>
      <c r="AK464" s="147">
        <v>0</v>
      </c>
      <c r="AL464" s="147">
        <f t="shared" si="108"/>
        <v>28</v>
      </c>
      <c r="AM464" s="147">
        <f t="shared" si="109"/>
        <v>947326100</v>
      </c>
      <c r="AN464" s="147" t="s">
        <v>5861</v>
      </c>
      <c r="AR464" t="s">
        <v>25</v>
      </c>
    </row>
    <row r="465" spans="17:45">
      <c r="Q465" s="97" t="s">
        <v>5650</v>
      </c>
      <c r="R465" s="93">
        <v>1826535.2307560001</v>
      </c>
      <c r="T465" s="19" t="s">
        <v>5827</v>
      </c>
      <c r="U465" s="19">
        <v>232</v>
      </c>
      <c r="V465" s="115">
        <v>1830.5750069999999</v>
      </c>
      <c r="W465" s="115">
        <f t="shared" si="93"/>
        <v>424693.40162399999</v>
      </c>
      <c r="X465" s="264" t="s">
        <v>5116</v>
      </c>
      <c r="Y465" t="s">
        <v>25</v>
      </c>
      <c r="AH465" s="20">
        <v>197</v>
      </c>
      <c r="AI465" s="20" t="s">
        <v>5856</v>
      </c>
      <c r="AJ465" s="115">
        <v>20033075</v>
      </c>
      <c r="AK465" s="20">
        <v>28</v>
      </c>
      <c r="AL465" s="20">
        <f t="shared" si="108"/>
        <v>28</v>
      </c>
      <c r="AM465" s="20">
        <f t="shared" si="109"/>
        <v>560926100</v>
      </c>
      <c r="AN465" s="20" t="s">
        <v>5861</v>
      </c>
      <c r="AR465" t="s">
        <v>25</v>
      </c>
    </row>
    <row r="466" spans="17:45">
      <c r="Q466" s="97" t="s">
        <v>5652</v>
      </c>
      <c r="R466" s="93">
        <v>3577366.94</v>
      </c>
      <c r="T466" s="19" t="s">
        <v>5830</v>
      </c>
      <c r="U466" s="19">
        <v>308</v>
      </c>
      <c r="V466" s="115">
        <v>1812.728578</v>
      </c>
      <c r="W466" s="115">
        <f t="shared" si="93"/>
        <v>558320.40202399995</v>
      </c>
      <c r="X466" s="264" t="s">
        <v>5116</v>
      </c>
      <c r="Y466" t="s">
        <v>25</v>
      </c>
      <c r="AH466" s="147">
        <v>198</v>
      </c>
      <c r="AI466" s="147" t="s">
        <v>5890</v>
      </c>
      <c r="AJ466" s="186">
        <v>-22520813.151772</v>
      </c>
      <c r="AK466" s="147">
        <v>0</v>
      </c>
      <c r="AL466" s="147">
        <f>AK466+AL477</f>
        <v>0</v>
      </c>
      <c r="AM466" s="147">
        <f t="shared" si="109"/>
        <v>0</v>
      </c>
      <c r="AN466" s="147" t="s">
        <v>5900</v>
      </c>
    </row>
    <row r="467" spans="17:45">
      <c r="Q467" s="97" t="s">
        <v>5656</v>
      </c>
      <c r="R467" s="93">
        <v>21239029.173567999</v>
      </c>
      <c r="T467" s="19" t="s">
        <v>5832</v>
      </c>
      <c r="U467" s="19">
        <v>106</v>
      </c>
      <c r="V467" s="115">
        <v>1958.8888869</v>
      </c>
      <c r="W467" s="115">
        <f t="shared" si="93"/>
        <v>207642.22201140001</v>
      </c>
      <c r="X467" s="264" t="s">
        <v>5116</v>
      </c>
      <c r="AA467" t="s">
        <v>25</v>
      </c>
      <c r="AH467" s="20">
        <v>199</v>
      </c>
      <c r="AI467" s="20" t="s">
        <v>5890</v>
      </c>
      <c r="AJ467" s="115">
        <v>-204353015</v>
      </c>
      <c r="AK467" s="20">
        <v>0</v>
      </c>
      <c r="AL467" s="20">
        <f t="shared" ref="AL467:AL477" si="110">AK467+AL468</f>
        <v>41</v>
      </c>
      <c r="AM467" s="20">
        <f t="shared" ref="AM467:AM477" si="111">AJ467*AL467</f>
        <v>-8378473615</v>
      </c>
      <c r="AN467" s="20" t="s">
        <v>5901</v>
      </c>
      <c r="AS467" t="s">
        <v>25</v>
      </c>
    </row>
    <row r="468" spans="17:45">
      <c r="Q468" s="97" t="s">
        <v>5661</v>
      </c>
      <c r="R468" s="93">
        <v>242957252.40163299</v>
      </c>
      <c r="T468" s="19" t="s">
        <v>5856</v>
      </c>
      <c r="U468" s="19">
        <v>17050</v>
      </c>
      <c r="V468" s="115">
        <v>1984.311475</v>
      </c>
      <c r="W468" s="115">
        <f t="shared" si="93"/>
        <v>33832510.64875</v>
      </c>
      <c r="X468" s="264" t="s">
        <v>5859</v>
      </c>
      <c r="Y468" t="s">
        <v>25</v>
      </c>
      <c r="AH468" s="20">
        <v>200</v>
      </c>
      <c r="AI468" s="20" t="s">
        <v>5890</v>
      </c>
      <c r="AJ468" s="115">
        <v>50000000</v>
      </c>
      <c r="AK468" s="20">
        <v>1</v>
      </c>
      <c r="AL468" s="20">
        <f t="shared" si="110"/>
        <v>41</v>
      </c>
      <c r="AM468" s="20">
        <f t="shared" si="111"/>
        <v>2050000000</v>
      </c>
      <c r="AN468" s="20" t="s">
        <v>5902</v>
      </c>
    </row>
    <row r="469" spans="17:45">
      <c r="Q469" s="97" t="s">
        <v>5662</v>
      </c>
      <c r="R469" s="93">
        <v>7357181.2750800001</v>
      </c>
      <c r="T469" s="19" t="s">
        <v>5856</v>
      </c>
      <c r="U469" s="19">
        <v>17050</v>
      </c>
      <c r="V469" s="115">
        <v>1984.311475</v>
      </c>
      <c r="W469" s="115">
        <f t="shared" si="93"/>
        <v>33832510.64875</v>
      </c>
      <c r="X469" s="264" t="s">
        <v>5860</v>
      </c>
      <c r="Y469" t="s">
        <v>25</v>
      </c>
      <c r="AH469" s="20">
        <v>201</v>
      </c>
      <c r="AI469" s="20" t="s">
        <v>5908</v>
      </c>
      <c r="AJ469" s="115">
        <v>50000000</v>
      </c>
      <c r="AK469" s="20">
        <v>8</v>
      </c>
      <c r="AL469" s="20">
        <f t="shared" si="110"/>
        <v>40</v>
      </c>
      <c r="AM469" s="20">
        <f t="shared" si="111"/>
        <v>2000000000</v>
      </c>
      <c r="AN469" s="20" t="s">
        <v>5902</v>
      </c>
    </row>
    <row r="470" spans="17:45">
      <c r="Q470" s="97" t="s">
        <v>5666</v>
      </c>
      <c r="R470" s="93">
        <v>14951411.942400001</v>
      </c>
      <c r="T470" s="19" t="s">
        <v>5862</v>
      </c>
      <c r="U470" s="19">
        <v>9659</v>
      </c>
      <c r="V470" s="115">
        <v>2073.8685089999999</v>
      </c>
      <c r="W470" s="115">
        <f t="shared" si="93"/>
        <v>20031495.928431001</v>
      </c>
      <c r="X470" s="264" t="s">
        <v>5863</v>
      </c>
      <c r="Y470" t="s">
        <v>25</v>
      </c>
      <c r="AH470" s="20">
        <v>202</v>
      </c>
      <c r="AI470" s="20" t="s">
        <v>6460</v>
      </c>
      <c r="AJ470" s="115">
        <v>30000000</v>
      </c>
      <c r="AK470" s="20">
        <v>2</v>
      </c>
      <c r="AL470" s="20">
        <f t="shared" si="110"/>
        <v>32</v>
      </c>
      <c r="AM470" s="20">
        <f t="shared" si="111"/>
        <v>960000000</v>
      </c>
      <c r="AN470" s="20" t="s">
        <v>6462</v>
      </c>
    </row>
    <row r="471" spans="17:45">
      <c r="Q471" s="97" t="s">
        <v>5668</v>
      </c>
      <c r="R471" s="93">
        <v>47928209.377011999</v>
      </c>
      <c r="T471" s="19" t="s">
        <v>5872</v>
      </c>
      <c r="U471" s="19">
        <v>323</v>
      </c>
      <c r="V471" s="115">
        <v>1975.162028</v>
      </c>
      <c r="W471" s="115">
        <f t="shared" si="93"/>
        <v>637977.33504399995</v>
      </c>
      <c r="X471" s="264" t="s">
        <v>5116</v>
      </c>
      <c r="AH471" s="147">
        <v>203</v>
      </c>
      <c r="AI471" s="147" t="s">
        <v>6469</v>
      </c>
      <c r="AJ471" s="186">
        <v>20000000</v>
      </c>
      <c r="AK471" s="147">
        <v>29</v>
      </c>
      <c r="AL471" s="147">
        <f t="shared" si="110"/>
        <v>30</v>
      </c>
      <c r="AM471" s="147">
        <f t="shared" si="111"/>
        <v>600000000</v>
      </c>
      <c r="AN471" s="147" t="s">
        <v>6470</v>
      </c>
    </row>
    <row r="472" spans="17:45">
      <c r="Q472" s="97" t="s">
        <v>5670</v>
      </c>
      <c r="R472" s="93">
        <v>2281595.69937</v>
      </c>
      <c r="T472" s="19" t="s">
        <v>5873</v>
      </c>
      <c r="U472" s="19">
        <v>238</v>
      </c>
      <c r="V472" s="115">
        <v>1960.303598</v>
      </c>
      <c r="W472" s="115">
        <f t="shared" si="93"/>
        <v>466552.25632400002</v>
      </c>
      <c r="X472" s="264" t="s">
        <v>5116</v>
      </c>
      <c r="Z472" t="s">
        <v>25</v>
      </c>
      <c r="AH472" s="147">
        <v>204</v>
      </c>
      <c r="AI472" s="147" t="s">
        <v>6542</v>
      </c>
      <c r="AJ472" s="186">
        <v>-20000000</v>
      </c>
      <c r="AK472" s="147">
        <v>0</v>
      </c>
      <c r="AL472" s="147">
        <f t="shared" si="110"/>
        <v>1</v>
      </c>
      <c r="AM472" s="147">
        <f t="shared" si="111"/>
        <v>-20000000</v>
      </c>
      <c r="AN472" s="147" t="s">
        <v>6545</v>
      </c>
    </row>
    <row r="473" spans="17:45">
      <c r="Q473" s="97" t="s">
        <v>5671</v>
      </c>
      <c r="R473" s="93">
        <v>2964916.035069</v>
      </c>
      <c r="T473" s="19" t="s">
        <v>5874</v>
      </c>
      <c r="U473" s="19">
        <v>75</v>
      </c>
      <c r="V473" s="115">
        <v>1990.893174</v>
      </c>
      <c r="W473" s="115">
        <f t="shared" si="93"/>
        <v>149316.98805000001</v>
      </c>
      <c r="X473" s="264" t="s">
        <v>5875</v>
      </c>
      <c r="Z473" t="s">
        <v>25</v>
      </c>
      <c r="AH473" s="147">
        <v>205</v>
      </c>
      <c r="AI473" s="147" t="s">
        <v>6542</v>
      </c>
      <c r="AJ473" s="186">
        <v>2000000</v>
      </c>
      <c r="AK473" s="147">
        <v>1</v>
      </c>
      <c r="AL473" s="147">
        <f t="shared" si="110"/>
        <v>1</v>
      </c>
      <c r="AM473" s="147">
        <f t="shared" si="111"/>
        <v>2000000</v>
      </c>
      <c r="AN473" s="147" t="s">
        <v>6546</v>
      </c>
    </row>
    <row r="474" spans="17:45">
      <c r="Q474" s="97" t="s">
        <v>5673</v>
      </c>
      <c r="R474" s="93">
        <v>6460549.4269619994</v>
      </c>
      <c r="T474" s="19" t="s">
        <v>5874</v>
      </c>
      <c r="U474" s="19">
        <v>95</v>
      </c>
      <c r="V474" s="115">
        <v>1990.893174</v>
      </c>
      <c r="W474" s="115">
        <f t="shared" si="93"/>
        <v>189134.85153000001</v>
      </c>
      <c r="X474" s="264" t="s">
        <v>5116</v>
      </c>
      <c r="Z474" t="s">
        <v>25</v>
      </c>
      <c r="AH474" s="20"/>
      <c r="AI474" s="20"/>
      <c r="AJ474" s="115"/>
      <c r="AK474" s="20"/>
      <c r="AL474" s="20">
        <f t="shared" si="110"/>
        <v>0</v>
      </c>
      <c r="AM474" s="20">
        <f t="shared" si="111"/>
        <v>0</v>
      </c>
      <c r="AN474" s="20"/>
    </row>
    <row r="475" spans="17:45">
      <c r="Q475" s="97" t="s">
        <v>5676</v>
      </c>
      <c r="R475" s="93">
        <v>5212319.8968359996</v>
      </c>
      <c r="T475" s="19" t="s">
        <v>5879</v>
      </c>
      <c r="U475" s="19">
        <v>284</v>
      </c>
      <c r="V475" s="115">
        <v>1989.045169</v>
      </c>
      <c r="W475" s="115">
        <f t="shared" si="93"/>
        <v>564888.82799599995</v>
      </c>
      <c r="X475" s="264" t="s">
        <v>5116</v>
      </c>
      <c r="Z475" t="s">
        <v>25</v>
      </c>
      <c r="AH475" s="20"/>
      <c r="AI475" s="20"/>
      <c r="AJ475" s="115"/>
      <c r="AK475" s="20"/>
      <c r="AL475" s="20">
        <f t="shared" si="110"/>
        <v>0</v>
      </c>
      <c r="AM475" s="20">
        <f t="shared" si="111"/>
        <v>0</v>
      </c>
      <c r="AN475" s="20"/>
    </row>
    <row r="476" spans="17:45" ht="30">
      <c r="Q476" s="97" t="s">
        <v>5678</v>
      </c>
      <c r="R476" s="93">
        <v>4524496.4792809999</v>
      </c>
      <c r="T476" s="187" t="s">
        <v>5890</v>
      </c>
      <c r="U476" s="187">
        <v>11034</v>
      </c>
      <c r="V476" s="186">
        <v>1960.6845390000001</v>
      </c>
      <c r="W476" s="186">
        <f t="shared" si="93"/>
        <v>21634193.203326002</v>
      </c>
      <c r="X476" s="263" t="s">
        <v>5896</v>
      </c>
      <c r="Z476" t="s">
        <v>25</v>
      </c>
      <c r="AH476" s="20"/>
      <c r="AI476" s="20"/>
      <c r="AJ476" s="115"/>
      <c r="AK476" s="20"/>
      <c r="AL476" s="20">
        <f t="shared" si="110"/>
        <v>0</v>
      </c>
      <c r="AM476" s="20">
        <f t="shared" si="111"/>
        <v>0</v>
      </c>
      <c r="AN476" s="20"/>
    </row>
    <row r="477" spans="17:45" ht="30">
      <c r="Q477" s="97" t="s">
        <v>5680</v>
      </c>
      <c r="R477" s="93">
        <v>22866040.240959998</v>
      </c>
      <c r="T477" s="19" t="s">
        <v>5890</v>
      </c>
      <c r="U477" s="19">
        <v>4469</v>
      </c>
      <c r="V477" s="115">
        <v>1960.6845390000001</v>
      </c>
      <c r="W477" s="115">
        <f t="shared" si="93"/>
        <v>8762299.2047910001</v>
      </c>
      <c r="X477" s="264" t="s">
        <v>5897</v>
      </c>
      <c r="Z477" t="s">
        <v>25</v>
      </c>
      <c r="AH477" s="97"/>
      <c r="AI477" s="97"/>
      <c r="AJ477" s="115"/>
      <c r="AK477" s="97"/>
      <c r="AL477" s="20">
        <f t="shared" si="110"/>
        <v>0</v>
      </c>
      <c r="AM477" s="20">
        <f t="shared" si="111"/>
        <v>0</v>
      </c>
      <c r="AN477" s="20"/>
    </row>
    <row r="478" spans="17:45">
      <c r="Q478" s="97" t="s">
        <v>5682</v>
      </c>
      <c r="R478" s="93">
        <v>15359304.269892</v>
      </c>
      <c r="T478" s="19" t="s">
        <v>5890</v>
      </c>
      <c r="U478" s="19">
        <v>-174834</v>
      </c>
      <c r="V478" s="115">
        <v>1955.271154</v>
      </c>
      <c r="W478" s="115">
        <f t="shared" si="93"/>
        <v>-341847876.93843603</v>
      </c>
      <c r="X478" s="264" t="s">
        <v>5898</v>
      </c>
      <c r="AH478" s="97"/>
      <c r="AI478" s="97"/>
      <c r="AJ478" s="115"/>
      <c r="AK478" s="97"/>
      <c r="AL478" s="20">
        <f t="shared" si="106"/>
        <v>0</v>
      </c>
      <c r="AM478" s="20">
        <f t="shared" si="107"/>
        <v>0</v>
      </c>
      <c r="AN478" s="97"/>
    </row>
    <row r="479" spans="17:45">
      <c r="Q479" s="97" t="s">
        <v>5683</v>
      </c>
      <c r="R479" s="93">
        <v>2868508.1846330003</v>
      </c>
      <c r="T479" s="19" t="s">
        <v>5890</v>
      </c>
      <c r="U479" s="19">
        <v>-78942</v>
      </c>
      <c r="V479" s="115">
        <v>1955.271154</v>
      </c>
      <c r="W479" s="115">
        <f t="shared" si="93"/>
        <v>-154353015.43906799</v>
      </c>
      <c r="X479" s="264" t="s">
        <v>5899</v>
      </c>
      <c r="Z479" t="s">
        <v>25</v>
      </c>
      <c r="AA479" t="s">
        <v>25</v>
      </c>
      <c r="AH479" s="97"/>
      <c r="AI479" s="97"/>
      <c r="AJ479" s="93">
        <f>SUM(AJ287:AJ478)</f>
        <v>201792676.84822798</v>
      </c>
      <c r="AK479" s="97"/>
      <c r="AL479" s="97"/>
      <c r="AM479" s="97">
        <f>SUM(AM287:AM478)</f>
        <v>226893211969</v>
      </c>
      <c r="AN479" s="93">
        <f>AM479*AN273/31</f>
        <v>121988037.54475237</v>
      </c>
    </row>
    <row r="480" spans="17:45">
      <c r="Q480" s="97" t="s">
        <v>5684</v>
      </c>
      <c r="R480" s="93">
        <v>17450393.011856001</v>
      </c>
      <c r="T480" s="187" t="s">
        <v>5890</v>
      </c>
      <c r="U480" s="187">
        <v>-11518</v>
      </c>
      <c r="V480" s="186">
        <v>1955.271154</v>
      </c>
      <c r="W480" s="186">
        <f t="shared" si="93"/>
        <v>-22520813.151772</v>
      </c>
      <c r="X480" s="263" t="s">
        <v>5900</v>
      </c>
      <c r="AJ480" t="s">
        <v>4043</v>
      </c>
      <c r="AM480" t="s">
        <v>284</v>
      </c>
      <c r="AN480" t="s">
        <v>928</v>
      </c>
    </row>
    <row r="481" spans="17:40">
      <c r="Q481" s="97" t="s">
        <v>5685</v>
      </c>
      <c r="R481" s="93">
        <v>31388943.254850004</v>
      </c>
      <c r="T481" s="19" t="s">
        <v>5912</v>
      </c>
      <c r="U481" s="19">
        <v>8622</v>
      </c>
      <c r="V481" s="115">
        <v>1930.4022150000001</v>
      </c>
      <c r="W481" s="115">
        <f t="shared" si="93"/>
        <v>16643927.89773</v>
      </c>
      <c r="X481" s="264" t="s">
        <v>744</v>
      </c>
      <c r="Z481" t="s">
        <v>25</v>
      </c>
    </row>
    <row r="482" spans="17:40">
      <c r="Q482" s="97" t="s">
        <v>5687</v>
      </c>
      <c r="R482" s="93">
        <v>30912095.373174001</v>
      </c>
      <c r="T482" s="19" t="s">
        <v>5913</v>
      </c>
      <c r="U482" s="19">
        <v>17384</v>
      </c>
      <c r="V482" s="115">
        <v>1918.745255</v>
      </c>
      <c r="W482" s="115">
        <f t="shared" si="93"/>
        <v>33355467.51292</v>
      </c>
      <c r="X482" s="264" t="s">
        <v>744</v>
      </c>
      <c r="Y482" t="s">
        <v>25</v>
      </c>
      <c r="Z482" t="s">
        <v>25</v>
      </c>
      <c r="AA482" t="s">
        <v>25</v>
      </c>
      <c r="AI482" t="s">
        <v>4045</v>
      </c>
      <c r="AJ482" s="112">
        <f>AJ479+AN479</f>
        <v>323780714.39298034</v>
      </c>
      <c r="AM482" t="s">
        <v>25</v>
      </c>
    </row>
    <row r="483" spans="17:40">
      <c r="Q483" s="97" t="s">
        <v>5691</v>
      </c>
      <c r="R483" s="93">
        <v>19602926.115093999</v>
      </c>
      <c r="T483" s="19" t="s">
        <v>5925</v>
      </c>
      <c r="U483" s="19">
        <v>133</v>
      </c>
      <c r="V483" s="115">
        <v>1954.8389770000001</v>
      </c>
      <c r="W483" s="115">
        <f t="shared" si="93"/>
        <v>259993.58394100002</v>
      </c>
      <c r="X483" s="264" t="s">
        <v>5116</v>
      </c>
      <c r="AI483" t="s">
        <v>4048</v>
      </c>
      <c r="AJ483" s="112">
        <f>SUM(N20:N31)</f>
        <v>2956185119</v>
      </c>
    </row>
    <row r="484" spans="17:40">
      <c r="Q484" s="97" t="s">
        <v>5693</v>
      </c>
      <c r="R484" s="93">
        <v>34458590.308710001</v>
      </c>
      <c r="T484" s="19" t="s">
        <v>5929</v>
      </c>
      <c r="U484" s="19">
        <v>140</v>
      </c>
      <c r="V484" s="115">
        <v>1928.2522289999999</v>
      </c>
      <c r="W484" s="115">
        <f t="shared" si="93"/>
        <v>269955.31205999997</v>
      </c>
      <c r="X484" s="264" t="s">
        <v>5116</v>
      </c>
      <c r="Y484" t="s">
        <v>25</v>
      </c>
      <c r="AA484" t="s">
        <v>25</v>
      </c>
      <c r="AI484" t="s">
        <v>4118</v>
      </c>
      <c r="AJ484" s="112">
        <f>AJ483-AJ479</f>
        <v>2754392442.151772</v>
      </c>
    </row>
    <row r="485" spans="17:40">
      <c r="Q485" s="97" t="s">
        <v>5695</v>
      </c>
      <c r="R485" s="93">
        <v>21697868.203256</v>
      </c>
      <c r="T485" s="19" t="s">
        <v>6464</v>
      </c>
      <c r="U485" s="19">
        <v>15839</v>
      </c>
      <c r="V485" s="115">
        <v>1893.9957079999999</v>
      </c>
      <c r="W485" s="115">
        <f t="shared" si="93"/>
        <v>29998998.019012</v>
      </c>
      <c r="X485" s="264" t="s">
        <v>6462</v>
      </c>
      <c r="Z485" t="s">
        <v>25</v>
      </c>
      <c r="AI485" t="s">
        <v>928</v>
      </c>
      <c r="AJ485" s="112">
        <f>AN479</f>
        <v>121988037.54475237</v>
      </c>
    </row>
    <row r="486" spans="17:40">
      <c r="Q486" s="97" t="s">
        <v>5696</v>
      </c>
      <c r="R486" s="93">
        <v>25340079.252110001</v>
      </c>
      <c r="T486" s="19" t="s">
        <v>6469</v>
      </c>
      <c r="U486" s="19">
        <v>26601</v>
      </c>
      <c r="V486" s="115">
        <v>1880.082026</v>
      </c>
      <c r="W486" s="115">
        <f t="shared" si="93"/>
        <v>50012061.973626003</v>
      </c>
      <c r="X486" s="264" t="s">
        <v>5356</v>
      </c>
      <c r="AI486" t="s">
        <v>4049</v>
      </c>
      <c r="AJ486" s="112">
        <f>AJ484-AJ485</f>
        <v>2632404404.6070194</v>
      </c>
      <c r="AM486" t="s">
        <v>25</v>
      </c>
      <c r="AN486" t="s">
        <v>25</v>
      </c>
    </row>
    <row r="487" spans="17:40">
      <c r="Q487" s="97" t="s">
        <v>5699</v>
      </c>
      <c r="R487" s="93">
        <v>14780983.183526</v>
      </c>
      <c r="T487" s="187" t="s">
        <v>6469</v>
      </c>
      <c r="U487" s="187">
        <v>10637</v>
      </c>
      <c r="V487" s="186">
        <v>1880.082026</v>
      </c>
      <c r="W487" s="186">
        <f t="shared" si="93"/>
        <v>19998432.510561999</v>
      </c>
      <c r="X487" s="263" t="s">
        <v>6470</v>
      </c>
      <c r="Y487" t="s">
        <v>25</v>
      </c>
      <c r="AL487" t="s">
        <v>25</v>
      </c>
      <c r="AM487" t="s">
        <v>25</v>
      </c>
      <c r="AN487" t="s">
        <v>25</v>
      </c>
    </row>
    <row r="488" spans="17:40">
      <c r="Q488" s="97" t="s">
        <v>5699</v>
      </c>
      <c r="R488" s="93">
        <v>17804396.448481999</v>
      </c>
      <c r="T488" s="19" t="s">
        <v>6478</v>
      </c>
      <c r="U488" s="19">
        <v>306</v>
      </c>
      <c r="V488" s="115">
        <v>1831.8117119999999</v>
      </c>
      <c r="W488" s="115">
        <f t="shared" si="93"/>
        <v>560534.38387200003</v>
      </c>
      <c r="X488" s="264" t="s">
        <v>5116</v>
      </c>
      <c r="Y488" t="s">
        <v>25</v>
      </c>
    </row>
    <row r="489" spans="17:40">
      <c r="Q489" s="97" t="s">
        <v>5703</v>
      </c>
      <c r="R489" s="93">
        <v>260260000</v>
      </c>
      <c r="T489" s="19" t="s">
        <v>6490</v>
      </c>
      <c r="U489" s="19">
        <v>325</v>
      </c>
      <c r="V489" s="115">
        <v>1789.1845169999999</v>
      </c>
      <c r="W489" s="115">
        <f t="shared" si="93"/>
        <v>581484.96802499995</v>
      </c>
      <c r="X489" s="264" t="s">
        <v>5116</v>
      </c>
      <c r="Z489" t="s">
        <v>25</v>
      </c>
    </row>
    <row r="490" spans="17:40">
      <c r="Q490" s="97" t="s">
        <v>5704</v>
      </c>
      <c r="R490" s="93">
        <v>11538335.631417999</v>
      </c>
      <c r="T490" s="19" t="s">
        <v>6493</v>
      </c>
      <c r="U490" s="19">
        <v>1154</v>
      </c>
      <c r="V490" s="115">
        <v>1851.788857</v>
      </c>
      <c r="W490" s="115">
        <f t="shared" si="93"/>
        <v>2136964.3409779998</v>
      </c>
      <c r="X490" s="264" t="s">
        <v>5116</v>
      </c>
      <c r="Z490" t="s">
        <v>25</v>
      </c>
      <c r="AA490" t="s">
        <v>25</v>
      </c>
      <c r="AN490" t="s">
        <v>25</v>
      </c>
    </row>
    <row r="491" spans="17:40" ht="30">
      <c r="Q491" s="97" t="s">
        <v>5714</v>
      </c>
      <c r="R491" s="93">
        <v>12429517.767776001</v>
      </c>
      <c r="T491" s="19" t="s">
        <v>6493</v>
      </c>
      <c r="U491" s="19">
        <v>3240</v>
      </c>
      <c r="V491" s="115">
        <v>1851.788857</v>
      </c>
      <c r="W491" s="115">
        <f t="shared" si="93"/>
        <v>5999795.8966800002</v>
      </c>
      <c r="X491" s="264" t="s">
        <v>6496</v>
      </c>
      <c r="AN491" t="s">
        <v>25</v>
      </c>
    </row>
    <row r="492" spans="17:40">
      <c r="Q492" s="97" t="s">
        <v>5716</v>
      </c>
      <c r="R492" s="93">
        <v>5031176.5087869996</v>
      </c>
      <c r="T492" s="19" t="s">
        <v>6493</v>
      </c>
      <c r="U492" s="19">
        <v>-3240</v>
      </c>
      <c r="V492" s="115">
        <v>1851.788857</v>
      </c>
      <c r="W492" s="115">
        <f t="shared" si="93"/>
        <v>-5999795.8966800002</v>
      </c>
      <c r="X492" s="264" t="s">
        <v>6497</v>
      </c>
      <c r="Z492" t="s">
        <v>25</v>
      </c>
      <c r="AA492" t="s">
        <v>25</v>
      </c>
      <c r="AB492" t="s">
        <v>25</v>
      </c>
    </row>
    <row r="493" spans="17:40">
      <c r="Q493" s="97" t="s">
        <v>5720</v>
      </c>
      <c r="R493" s="93">
        <v>6822803.9080700008</v>
      </c>
      <c r="T493" s="19" t="s">
        <v>6498</v>
      </c>
      <c r="U493" s="19">
        <v>330</v>
      </c>
      <c r="V493" s="115">
        <v>1799.34311</v>
      </c>
      <c r="W493" s="115">
        <f t="shared" si="93"/>
        <v>593783.22629999998</v>
      </c>
      <c r="X493" s="264" t="s">
        <v>5116</v>
      </c>
    </row>
    <row r="494" spans="17:40">
      <c r="Q494" s="97" t="s">
        <v>5730</v>
      </c>
      <c r="R494" s="93">
        <v>330889.73324399994</v>
      </c>
      <c r="T494" s="19" t="s">
        <v>6502</v>
      </c>
      <c r="U494" s="19">
        <v>266</v>
      </c>
      <c r="V494" s="115">
        <v>1764.9246700000001</v>
      </c>
      <c r="W494" s="115">
        <f t="shared" si="93"/>
        <v>469469.96222000004</v>
      </c>
      <c r="X494" s="264" t="s">
        <v>5116</v>
      </c>
      <c r="Y494" t="s">
        <v>25</v>
      </c>
      <c r="AA494" t="s">
        <v>25</v>
      </c>
    </row>
    <row r="495" spans="17:40">
      <c r="Q495" s="97" t="s">
        <v>5731</v>
      </c>
      <c r="R495" s="93">
        <v>6610318.1610199995</v>
      </c>
      <c r="T495" s="187" t="s">
        <v>6542</v>
      </c>
      <c r="U495" s="187">
        <v>-10637</v>
      </c>
      <c r="V495" s="186">
        <v>1739.5916549999999</v>
      </c>
      <c r="W495" s="186">
        <f t="shared" si="93"/>
        <v>-18504036.434234999</v>
      </c>
      <c r="X495" s="263" t="s">
        <v>6547</v>
      </c>
      <c r="Y495" t="s">
        <v>25</v>
      </c>
      <c r="AA495" t="s">
        <v>25</v>
      </c>
    </row>
    <row r="496" spans="17:40">
      <c r="Q496" s="97" t="s">
        <v>5733</v>
      </c>
      <c r="R496" s="93">
        <v>710713.17725199996</v>
      </c>
      <c r="T496" s="19" t="s">
        <v>6542</v>
      </c>
      <c r="U496" s="19">
        <v>10637</v>
      </c>
      <c r="V496" s="115">
        <v>1739.5916549999999</v>
      </c>
      <c r="W496" s="115">
        <f t="shared" si="93"/>
        <v>18504036.434234999</v>
      </c>
      <c r="X496" s="264" t="s">
        <v>6548</v>
      </c>
    </row>
    <row r="497" spans="17:28">
      <c r="Q497" s="97" t="s">
        <v>5736</v>
      </c>
      <c r="R497" s="93">
        <v>81025</v>
      </c>
      <c r="T497" s="19"/>
      <c r="U497" s="19"/>
      <c r="V497" s="115"/>
      <c r="W497" s="115"/>
      <c r="X497" s="264"/>
    </row>
    <row r="498" spans="17:28">
      <c r="Q498" s="97" t="s">
        <v>5737</v>
      </c>
      <c r="R498" s="93">
        <v>219696.613128</v>
      </c>
      <c r="T498" s="19"/>
      <c r="U498" s="19"/>
      <c r="V498" s="115"/>
      <c r="W498" s="115"/>
      <c r="X498" s="264"/>
      <c r="Y498" t="s">
        <v>25</v>
      </c>
      <c r="AA498" t="s">
        <v>25</v>
      </c>
    </row>
    <row r="499" spans="17:28">
      <c r="Q499" s="97" t="s">
        <v>5739</v>
      </c>
      <c r="R499" s="93">
        <v>6035472.4070199998</v>
      </c>
      <c r="T499" s="19"/>
      <c r="U499" s="19"/>
      <c r="V499" s="115"/>
      <c r="W499" s="115"/>
      <c r="X499" s="264"/>
      <c r="AA499" t="s">
        <v>25</v>
      </c>
    </row>
    <row r="500" spans="17:28">
      <c r="Q500" s="97" t="s">
        <v>5741</v>
      </c>
      <c r="R500" s="93">
        <v>984486.34963200008</v>
      </c>
      <c r="T500" s="19"/>
      <c r="U500" s="19"/>
      <c r="V500" s="115"/>
      <c r="W500" s="115"/>
      <c r="X500" s="264"/>
      <c r="Y500" t="s">
        <v>25</v>
      </c>
      <c r="Z500" t="s">
        <v>25</v>
      </c>
    </row>
    <row r="501" spans="17:28">
      <c r="Q501" s="97" t="s">
        <v>5753</v>
      </c>
      <c r="R501" s="93">
        <v>2143469.938015</v>
      </c>
      <c r="T501" s="19"/>
      <c r="U501" s="19"/>
      <c r="V501" s="115"/>
      <c r="W501" s="115">
        <f t="shared" si="93"/>
        <v>0</v>
      </c>
      <c r="X501" s="264"/>
      <c r="Y501" t="s">
        <v>25</v>
      </c>
      <c r="AA501" t="s">
        <v>25</v>
      </c>
      <c r="AB501" t="s">
        <v>25</v>
      </c>
    </row>
    <row r="502" spans="17:28">
      <c r="Q502" s="97" t="s">
        <v>5755</v>
      </c>
      <c r="R502" s="93">
        <v>3085460.5177150001</v>
      </c>
      <c r="T502" s="19"/>
      <c r="U502" s="19"/>
      <c r="V502" s="115"/>
      <c r="W502" s="115">
        <f t="shared" si="93"/>
        <v>0</v>
      </c>
      <c r="X502" s="264"/>
      <c r="Y502" t="s">
        <v>25</v>
      </c>
      <c r="AA502" t="s">
        <v>25</v>
      </c>
    </row>
    <row r="503" spans="17:28">
      <c r="Q503" s="97" t="s">
        <v>5757</v>
      </c>
      <c r="R503" s="93">
        <v>8261456.790906</v>
      </c>
      <c r="T503" s="97"/>
      <c r="U503" s="166"/>
      <c r="V503" s="111"/>
      <c r="W503" s="115">
        <f t="shared" si="93"/>
        <v>0</v>
      </c>
      <c r="X503" s="97"/>
    </row>
    <row r="504" spans="17:28">
      <c r="Q504" s="97" t="s">
        <v>5762</v>
      </c>
      <c r="R504" s="93">
        <v>6572373.7593120001</v>
      </c>
      <c r="T504" s="166"/>
      <c r="U504" s="166">
        <f>SUM(U182:U503)</f>
        <v>4309759</v>
      </c>
      <c r="V504" s="97"/>
      <c r="W504" s="97"/>
      <c r="X504" s="97"/>
    </row>
    <row r="505" spans="17:28">
      <c r="Q505" s="97" t="s">
        <v>5764</v>
      </c>
      <c r="R505" s="93">
        <v>2893243.5730909999</v>
      </c>
      <c r="T505" s="97"/>
      <c r="U505" s="97" t="s">
        <v>6</v>
      </c>
      <c r="V505" s="97"/>
      <c r="W505" s="97"/>
      <c r="X505" s="97"/>
    </row>
    <row r="506" spans="17:28">
      <c r="Q506" s="97" t="s">
        <v>5770</v>
      </c>
      <c r="R506" s="93">
        <v>94992058.939007998</v>
      </c>
      <c r="T506" s="197" t="s">
        <v>4438</v>
      </c>
      <c r="Y506" t="s">
        <v>25</v>
      </c>
    </row>
    <row r="507" spans="17:28">
      <c r="Q507" s="97" t="s">
        <v>5777</v>
      </c>
      <c r="R507" s="93">
        <v>275021.925965</v>
      </c>
      <c r="T507" s="196">
        <f>R206/U504</f>
        <v>1739.5916548929997</v>
      </c>
      <c r="X507" t="s">
        <v>25</v>
      </c>
    </row>
    <row r="508" spans="17:28">
      <c r="Q508" s="97" t="s">
        <v>5789</v>
      </c>
      <c r="R508" s="93">
        <v>327451.9203</v>
      </c>
      <c r="W508" s="112"/>
      <c r="X508">
        <v>26601</v>
      </c>
      <c r="Z508" t="s">
        <v>25</v>
      </c>
    </row>
    <row r="509" spans="17:28">
      <c r="Q509" s="97" t="s">
        <v>5800</v>
      </c>
      <c r="R509" s="93">
        <v>260081.94096800001</v>
      </c>
      <c r="U509" s="94" t="s">
        <v>267</v>
      </c>
      <c r="V509" t="s">
        <v>4439</v>
      </c>
      <c r="X509" t="s">
        <v>25</v>
      </c>
    </row>
    <row r="510" spans="17:28">
      <c r="Q510" s="97" t="s">
        <v>5801</v>
      </c>
      <c r="R510" s="93">
        <v>2909284.5308940001</v>
      </c>
      <c r="T510" s="112"/>
      <c r="U510" s="93">
        <v>-469922</v>
      </c>
      <c r="V510">
        <f>U510/T507</f>
        <v>-270.13351017075576</v>
      </c>
      <c r="X510" t="s">
        <v>25</v>
      </c>
    </row>
    <row r="511" spans="17:28">
      <c r="Q511" s="97" t="s">
        <v>5802</v>
      </c>
      <c r="R511" s="93">
        <v>37723205.094084002</v>
      </c>
      <c r="T511" t="s">
        <v>25</v>
      </c>
      <c r="X511" t="s">
        <v>25</v>
      </c>
    </row>
    <row r="512" spans="17:28">
      <c r="Q512" s="97" t="s">
        <v>5803</v>
      </c>
      <c r="R512" s="93">
        <v>1500094.75168</v>
      </c>
      <c r="T512" t="s">
        <v>25</v>
      </c>
      <c r="U512" s="94" t="s">
        <v>25</v>
      </c>
      <c r="V512" s="22"/>
      <c r="W512" s="214"/>
      <c r="X512" s="273" t="s">
        <v>25</v>
      </c>
    </row>
    <row r="513" spans="16:24">
      <c r="Q513" s="97" t="s">
        <v>5805</v>
      </c>
      <c r="R513" s="93">
        <v>7230628.4378079996</v>
      </c>
      <c r="V513" t="s">
        <v>25</v>
      </c>
      <c r="X513" t="s">
        <v>25</v>
      </c>
    </row>
    <row r="514" spans="16:24">
      <c r="P514" t="s">
        <v>25</v>
      </c>
      <c r="Q514" s="97" t="s">
        <v>5806</v>
      </c>
      <c r="R514" s="93">
        <v>29767389.390390001</v>
      </c>
      <c r="W514" s="112"/>
      <c r="X514" t="s">
        <v>25</v>
      </c>
    </row>
    <row r="515" spans="16:24" ht="60">
      <c r="Q515" s="97" t="s">
        <v>5808</v>
      </c>
      <c r="R515" s="93">
        <v>151560.25597</v>
      </c>
      <c r="T515" s="22" t="s">
        <v>4424</v>
      </c>
      <c r="V515" s="214"/>
    </row>
    <row r="516" spans="16:24" ht="45">
      <c r="Q516" s="97" t="s">
        <v>5812</v>
      </c>
      <c r="R516" s="93">
        <v>481318.88078800001</v>
      </c>
      <c r="T516" s="22" t="s">
        <v>4425</v>
      </c>
      <c r="W516" s="273"/>
    </row>
    <row r="517" spans="16:24">
      <c r="Q517" s="97" t="s">
        <v>5827</v>
      </c>
      <c r="R517" s="93">
        <v>146277.56820000001</v>
      </c>
    </row>
    <row r="518" spans="16:24">
      <c r="Q518" s="97" t="s">
        <v>5830</v>
      </c>
      <c r="R518" s="93">
        <v>424693.40162399999</v>
      </c>
    </row>
    <row r="519" spans="16:24">
      <c r="Q519" s="97" t="s">
        <v>5832</v>
      </c>
      <c r="R519" s="93">
        <v>558320.40202399995</v>
      </c>
      <c r="T519" s="97" t="s">
        <v>4440</v>
      </c>
      <c r="U519" s="97" t="s">
        <v>4419</v>
      </c>
      <c r="V519" s="97" t="s">
        <v>938</v>
      </c>
      <c r="W519" s="72" t="s">
        <v>5555</v>
      </c>
    </row>
    <row r="520" spans="16:24">
      <c r="Q520" s="97" t="s">
        <v>5856</v>
      </c>
      <c r="R520" s="93">
        <v>207642.22201140001</v>
      </c>
      <c r="T520" s="93">
        <f>S253+R321+R542</f>
        <v>2397012607.7952032</v>
      </c>
      <c r="U520" s="93">
        <f>R206</f>
        <v>7497220791</v>
      </c>
      <c r="V520" s="93">
        <f>U520-T520</f>
        <v>5100208183.2047968</v>
      </c>
    </row>
    <row r="521" spans="16:24">
      <c r="Q521" s="97" t="s">
        <v>5856</v>
      </c>
      <c r="R521" s="93">
        <v>33832510.64875</v>
      </c>
      <c r="W521" s="94" t="s">
        <v>25</v>
      </c>
    </row>
    <row r="522" spans="16:24">
      <c r="Q522" s="97" t="s">
        <v>5872</v>
      </c>
      <c r="R522" s="93">
        <v>637977.33504399995</v>
      </c>
    </row>
    <row r="523" spans="16:24">
      <c r="Q523" s="97" t="s">
        <v>5873</v>
      </c>
      <c r="R523" s="93">
        <v>466552.25632400002</v>
      </c>
      <c r="T523" s="115"/>
      <c r="V523" s="112">
        <f>(444000000+2500000)*2/3</f>
        <v>297666666.66666669</v>
      </c>
    </row>
    <row r="524" spans="16:24">
      <c r="Q524" s="97" t="s">
        <v>5874</v>
      </c>
      <c r="R524" s="93">
        <v>149316.98805000001</v>
      </c>
    </row>
    <row r="525" spans="16:24">
      <c r="Q525" s="97" t="s">
        <v>5874</v>
      </c>
      <c r="R525" s="93">
        <v>189134.85153000001</v>
      </c>
      <c r="T525" s="112">
        <f>W328+W329+W331+W332+W334+W335</f>
        <v>-301699041.74755996</v>
      </c>
    </row>
    <row r="526" spans="16:24">
      <c r="Q526" s="97" t="s">
        <v>5879</v>
      </c>
      <c r="R526" s="93">
        <v>564888.82799599995</v>
      </c>
      <c r="T526" t="s">
        <v>25</v>
      </c>
    </row>
    <row r="527" spans="16:24">
      <c r="Q527" s="97" t="s">
        <v>5890</v>
      </c>
      <c r="R527" s="93">
        <v>8762299.2047910001</v>
      </c>
      <c r="T527" s="112">
        <f>V523+T525</f>
        <v>-4032375.0808932781</v>
      </c>
    </row>
    <row r="528" spans="16:24">
      <c r="Q528" s="97" t="s">
        <v>5890</v>
      </c>
      <c r="R528" s="93">
        <v>-341847876.93843603</v>
      </c>
      <c r="T528" t="s">
        <v>25</v>
      </c>
    </row>
    <row r="529" spans="17:24">
      <c r="Q529" s="97" t="s">
        <v>5925</v>
      </c>
      <c r="R529" s="93">
        <v>259993.58394100002</v>
      </c>
      <c r="T529" t="s">
        <v>25</v>
      </c>
      <c r="X529" s="112">
        <f>V537+V539</f>
        <v>22521440</v>
      </c>
    </row>
    <row r="530" spans="17:24">
      <c r="Q530" s="97" t="s">
        <v>5929</v>
      </c>
      <c r="R530" s="93">
        <v>269955.31205999997</v>
      </c>
      <c r="W530" s="94" t="s">
        <v>25</v>
      </c>
    </row>
    <row r="531" spans="17:24">
      <c r="Q531" s="97" t="s">
        <v>6478</v>
      </c>
      <c r="R531" s="93">
        <v>560534.38387200003</v>
      </c>
    </row>
    <row r="532" spans="17:24">
      <c r="Q532" s="97" t="s">
        <v>6490</v>
      </c>
      <c r="R532" s="93">
        <v>581484.96802499995</v>
      </c>
      <c r="T532" t="s">
        <v>25</v>
      </c>
    </row>
    <row r="533" spans="17:24">
      <c r="Q533" s="97" t="s">
        <v>6493</v>
      </c>
      <c r="R533" s="93">
        <v>2136964.3409779998</v>
      </c>
      <c r="T533" s="97" t="s">
        <v>4737</v>
      </c>
      <c r="U533" s="97"/>
      <c r="V533" s="97"/>
    </row>
    <row r="534" spans="17:24">
      <c r="Q534" s="97" t="s">
        <v>6498</v>
      </c>
      <c r="R534" s="93">
        <v>593783.22629999998</v>
      </c>
      <c r="T534" s="97" t="s">
        <v>452</v>
      </c>
      <c r="U534" s="97">
        <v>4217700</v>
      </c>
      <c r="V534" s="35">
        <f>U534*80</f>
        <v>337416000</v>
      </c>
      <c r="W534" s="94" t="s">
        <v>25</v>
      </c>
    </row>
    <row r="535" spans="17:24">
      <c r="Q535" s="97" t="s">
        <v>6502</v>
      </c>
      <c r="R535" s="93">
        <v>469469.96222000004</v>
      </c>
      <c r="T535" s="97" t="s">
        <v>5893</v>
      </c>
      <c r="U535" s="97">
        <v>2527652</v>
      </c>
      <c r="V535" s="49">
        <f>U535*80-50000000</f>
        <v>152212160</v>
      </c>
      <c r="X535" t="s">
        <v>25</v>
      </c>
    </row>
    <row r="536" spans="17:24">
      <c r="Q536" s="97"/>
      <c r="R536" s="93"/>
      <c r="T536" s="97" t="s">
        <v>5869</v>
      </c>
      <c r="U536" s="97">
        <v>47381</v>
      </c>
      <c r="V536" s="35">
        <f t="shared" ref="V536" si="112">U536*80</f>
        <v>3790480</v>
      </c>
    </row>
    <row r="537" spans="17:24">
      <c r="Q537" s="97"/>
      <c r="R537" s="93"/>
      <c r="T537" s="97" t="s">
        <v>1071</v>
      </c>
      <c r="U537" s="97">
        <v>226303</v>
      </c>
      <c r="V537" s="186">
        <f>U537*80</f>
        <v>18104240</v>
      </c>
    </row>
    <row r="538" spans="17:24">
      <c r="Q538" s="97"/>
      <c r="R538" s="93"/>
      <c r="T538" s="97" t="s">
        <v>5868</v>
      </c>
      <c r="U538" s="97">
        <v>8020</v>
      </c>
      <c r="V538" s="35">
        <f>U538*80</f>
        <v>641600</v>
      </c>
    </row>
    <row r="539" spans="17:24">
      <c r="Q539" s="97"/>
      <c r="R539" s="93"/>
      <c r="T539" s="97" t="s">
        <v>5864</v>
      </c>
      <c r="U539" s="97">
        <v>55215</v>
      </c>
      <c r="V539" s="186">
        <f>U539*80</f>
        <v>4417200</v>
      </c>
    </row>
    <row r="540" spans="17:24">
      <c r="Q540" s="97" t="s">
        <v>25</v>
      </c>
      <c r="R540" s="93"/>
      <c r="T540" s="97" t="s">
        <v>5865</v>
      </c>
      <c r="U540" s="97">
        <v>26770</v>
      </c>
      <c r="V540" s="49">
        <f>U540*80</f>
        <v>2141600</v>
      </c>
    </row>
    <row r="541" spans="17:24">
      <c r="Q541" s="97" t="s">
        <v>25</v>
      </c>
      <c r="R541" s="97" t="s">
        <v>25</v>
      </c>
    </row>
    <row r="542" spans="17:24">
      <c r="Q542" s="97"/>
      <c r="R542" s="93">
        <f>SUM(R326:R541)</f>
        <v>2134570045.3558643</v>
      </c>
    </row>
    <row r="543" spans="17:24">
      <c r="R543" s="97" t="s">
        <v>6</v>
      </c>
    </row>
    <row r="544" spans="17:24">
      <c r="X544" t="s">
        <v>25</v>
      </c>
    </row>
    <row r="545" spans="17:23">
      <c r="Q545" t="s">
        <v>25</v>
      </c>
      <c r="T545" s="97" t="s">
        <v>5537</v>
      </c>
      <c r="U545" s="97">
        <v>139096</v>
      </c>
      <c r="V545" s="167">
        <f>U545*80</f>
        <v>11127680</v>
      </c>
    </row>
    <row r="546" spans="17:23">
      <c r="T546" s="97"/>
      <c r="U546" s="97"/>
      <c r="V546" s="167"/>
    </row>
    <row r="547" spans="17:23">
      <c r="Q547" t="s">
        <v>25</v>
      </c>
      <c r="R547" t="s">
        <v>25</v>
      </c>
      <c r="T547" s="97"/>
      <c r="U547" s="97"/>
      <c r="V547" s="167"/>
    </row>
    <row r="548" spans="17:23">
      <c r="R548" t="s">
        <v>25</v>
      </c>
    </row>
    <row r="549" spans="17:23">
      <c r="Q549" t="s">
        <v>25</v>
      </c>
      <c r="R549" t="s">
        <v>25</v>
      </c>
      <c r="T549" s="94"/>
      <c r="V549" s="94"/>
    </row>
    <row r="550" spans="17:23">
      <c r="T550" s="94"/>
      <c r="V550" s="94"/>
      <c r="W550" s="112"/>
    </row>
    <row r="551" spans="17:23">
      <c r="R551" t="s">
        <v>25</v>
      </c>
      <c r="T551" s="94"/>
      <c r="V551" s="94"/>
    </row>
    <row r="552" spans="17:23">
      <c r="T552" s="94"/>
      <c r="V552" s="94"/>
    </row>
    <row r="554" spans="17:23">
      <c r="U554" s="112"/>
    </row>
  </sheetData>
  <conditionalFormatting sqref="G3:G6">
    <cfRule type="cellIs" dxfId="17" priority="15" operator="greaterThan">
      <formula>0</formula>
    </cfRule>
  </conditionalFormatting>
  <conditionalFormatting sqref="G2:G62">
    <cfRule type="cellIs" dxfId="16" priority="14" operator="greaterThan">
      <formula>0</formula>
    </cfRule>
  </conditionalFormatting>
  <conditionalFormatting sqref="G67:G74 G1:G65 G103:G112 G145 G156:G158 G314:G1048576 G173:G194 G303:G309 G140:G142 G118:G126">
    <cfRule type="cellIs" dxfId="15" priority="13" operator="lessThan">
      <formula>0</formula>
    </cfRule>
  </conditionalFormatting>
  <conditionalFormatting sqref="G113">
    <cfRule type="cellIs" dxfId="14" priority="4" operator="lessThan">
      <formula>0</formula>
    </cfRule>
  </conditionalFormatting>
  <conditionalFormatting sqref="G114 G116">
    <cfRule type="cellIs" dxfId="13" priority="5" operator="lessThan">
      <formula>0</formula>
    </cfRule>
  </conditionalFormatting>
  <conditionalFormatting sqref="G117">
    <cfRule type="cellIs" dxfId="12" priority="2" operator="lessThan">
      <formula>0</formula>
    </cfRule>
  </conditionalFormatting>
  <conditionalFormatting sqref="G115">
    <cfRule type="cellIs" dxfId="11" priority="3" operator="lessThan">
      <formula>0</formula>
    </cfRule>
  </conditionalFormatting>
  <conditionalFormatting sqref="G137">
    <cfRule type="cellIs" dxfId="10" priority="1" operator="lessThan">
      <formula>0</formula>
    </cfRule>
  </conditionalFormatting>
  <pageMargins left="0.7" right="0.7" top="0.75" bottom="0.75" header="0.3" footer="0.3"/>
  <pageSetup orientation="portrait" r:id="rId1"/>
  <ignoredErrors>
    <ignoredError sqref="N10" formulaRange="1"/>
    <ignoredError sqref="S22 S34 S41 S45:S47 S122:S123 S125:S126 S129 S59 S150"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2021-05-19T22:45:51Z</dcterms:modified>
</cp:coreProperties>
</file>