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69" i="18" l="1"/>
  <c r="V543" i="18"/>
  <c r="W76" i="18"/>
  <c r="X76" i="18" s="1"/>
  <c r="T76" i="18"/>
  <c r="O41" i="18"/>
  <c r="O40" i="18"/>
  <c r="K82" i="18"/>
  <c r="I49" i="63"/>
  <c r="G44" i="63"/>
  <c r="H44" i="63"/>
  <c r="N44" i="63" s="1"/>
  <c r="I44" i="63"/>
  <c r="J44" i="63" s="1"/>
  <c r="K44" i="63" s="1"/>
  <c r="O44" i="63"/>
  <c r="G43" i="63"/>
  <c r="H43" i="63"/>
  <c r="N43" i="63" s="1"/>
  <c r="I43" i="63"/>
  <c r="O43" i="63"/>
  <c r="I42" i="63"/>
  <c r="O42" i="63"/>
  <c r="G42" i="63"/>
  <c r="H42" i="63"/>
  <c r="I41" i="63"/>
  <c r="O41" i="63"/>
  <c r="G41" i="63"/>
  <c r="H41" i="63"/>
  <c r="Y76" i="18" l="1"/>
  <c r="J43" i="63"/>
  <c r="K43" i="63" s="1"/>
  <c r="J42" i="63"/>
  <c r="K42" i="63" s="1"/>
  <c r="J41" i="63"/>
  <c r="K41" i="63" s="1"/>
  <c r="F23" i="60"/>
  <c r="H18" i="60"/>
  <c r="J18" i="60"/>
  <c r="G39" i="63" l="1"/>
  <c r="H39" i="63"/>
  <c r="I39" i="63"/>
  <c r="O39" i="63"/>
  <c r="W153" i="18"/>
  <c r="X153" i="18"/>
  <c r="Y153" i="18"/>
  <c r="T153" i="18"/>
  <c r="O63" i="18"/>
  <c r="G40" i="63"/>
  <c r="H40" i="63"/>
  <c r="N42" i="63" s="1"/>
  <c r="I40" i="63"/>
  <c r="O40" i="63"/>
  <c r="W75" i="18"/>
  <c r="X75" i="18" s="1"/>
  <c r="T75" i="18"/>
  <c r="N39" i="63" l="1"/>
  <c r="N41" i="63"/>
  <c r="J39" i="63"/>
  <c r="K39" i="63" s="1"/>
  <c r="J40" i="63"/>
  <c r="K40" i="63" s="1"/>
  <c r="Y75" i="18"/>
  <c r="T152" i="18"/>
  <c r="T151" i="18"/>
  <c r="O60" i="18"/>
  <c r="P178" i="18"/>
  <c r="S191" i="18"/>
  <c r="T74" i="18" l="1"/>
  <c r="T150" i="18"/>
  <c r="T73" i="18" l="1"/>
  <c r="T72" i="18" l="1"/>
  <c r="I38" i="63"/>
  <c r="O38" i="63"/>
  <c r="G38" i="63"/>
  <c r="H38" i="63"/>
  <c r="N40" i="63" s="1"/>
  <c r="J38" i="63" l="1"/>
  <c r="K38" i="63" s="1"/>
  <c r="G37" i="63"/>
  <c r="G45" i="63"/>
  <c r="T71" i="18" l="1"/>
  <c r="T149" i="18" l="1"/>
  <c r="T148" i="18" l="1"/>
  <c r="T147" i="18" l="1"/>
  <c r="T146" i="18" l="1"/>
  <c r="T145" i="18" l="1"/>
  <c r="T144" i="18" l="1"/>
  <c r="S189"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G125" i="18"/>
  <c r="X539" i="18" l="1"/>
  <c r="T70" i="18"/>
  <c r="T142" i="18"/>
  <c r="T69" i="18" l="1"/>
  <c r="X538" i="18"/>
  <c r="I53" i="63"/>
  <c r="H53" i="63"/>
  <c r="S190" i="18"/>
  <c r="P22" i="18"/>
  <c r="N22" i="18" s="1"/>
  <c r="P21" i="18"/>
  <c r="N21" i="18" s="1"/>
  <c r="T68" i="18" l="1"/>
  <c r="X537" i="18" l="1"/>
  <c r="T141" i="18" l="1"/>
  <c r="T67" i="18" l="1"/>
  <c r="T140" i="18"/>
  <c r="T66" i="18" l="1"/>
  <c r="I37" i="63" l="1"/>
  <c r="O37" i="63"/>
  <c r="X536" i="18"/>
  <c r="AB100" i="18"/>
  <c r="T102" i="18"/>
  <c r="T101" i="18"/>
  <c r="S319" i="18"/>
  <c r="U166" i="18"/>
  <c r="U168" i="18"/>
  <c r="X535" i="18"/>
  <c r="X534" i="18"/>
  <c r="O65" i="18" l="1"/>
  <c r="E106" i="63" l="1"/>
  <c r="X533" i="18"/>
  <c r="T65" i="18"/>
  <c r="S576" i="18" l="1"/>
  <c r="X532" i="18"/>
  <c r="AB126" i="18"/>
  <c r="AB127" i="18"/>
  <c r="AB128" i="18"/>
  <c r="AB129" i="18"/>
  <c r="AB130" i="18"/>
  <c r="AB131" i="18"/>
  <c r="AB132" i="18"/>
  <c r="AB133" i="18"/>
  <c r="AB134" i="18"/>
  <c r="AB125" i="18"/>
  <c r="AB57" i="18"/>
  <c r="AB58" i="18"/>
  <c r="AB59" i="18"/>
  <c r="AB60" i="18"/>
  <c r="AB56" i="18"/>
  <c r="T64" i="18"/>
  <c r="I54" i="63" l="1"/>
  <c r="I52" i="63"/>
  <c r="H54" i="63"/>
  <c r="H52" i="63"/>
  <c r="G54" i="63"/>
  <c r="G52" i="63"/>
  <c r="G53" i="63"/>
  <c r="J52" i="63" l="1"/>
  <c r="K52" i="63" s="1"/>
  <c r="C90" i="63" l="1"/>
  <c r="D90" i="63" s="1"/>
  <c r="C91" i="63"/>
  <c r="D91" i="63" s="1"/>
  <c r="C92" i="63"/>
  <c r="D92" i="63" s="1"/>
  <c r="C89" i="63"/>
  <c r="D89" i="63" s="1"/>
  <c r="D105" i="63" l="1"/>
  <c r="E105" i="63"/>
  <c r="G105" i="63" s="1"/>
  <c r="D106" i="63"/>
  <c r="G106" i="63"/>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D124" i="63"/>
  <c r="E124" i="63"/>
  <c r="D125" i="63"/>
  <c r="E125" i="63"/>
  <c r="D126" i="63"/>
  <c r="E126" i="63"/>
  <c r="E104" i="63"/>
  <c r="G104" i="63" s="1"/>
  <c r="D104"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9" i="18"/>
  <c r="J191" i="60" l="1"/>
  <c r="H312" i="18" l="1"/>
  <c r="X528" i="18"/>
  <c r="T138" i="18"/>
  <c r="I24" i="63"/>
  <c r="I25" i="63"/>
  <c r="G25" i="63"/>
  <c r="H25" i="63"/>
  <c r="J25" i="63" l="1"/>
  <c r="K25" i="63" s="1"/>
  <c r="X52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9" i="63"/>
  <c r="G49" i="63"/>
  <c r="J252" i="60" l="1"/>
  <c r="J49" i="63"/>
  <c r="K49"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5" i="18" l="1"/>
  <c r="T137" i="18"/>
  <c r="X524" i="18" l="1"/>
  <c r="T136" i="18"/>
  <c r="X523" i="18" l="1"/>
  <c r="T135" i="18"/>
  <c r="X522"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4" i="18"/>
  <c r="I35" i="63"/>
  <c r="G36" i="63"/>
  <c r="H36" i="63"/>
  <c r="N37" i="63" s="1"/>
  <c r="O36" i="63"/>
  <c r="J36" i="63" l="1"/>
  <c r="K36" i="63" s="1"/>
  <c r="T133" i="18"/>
  <c r="I34" i="63"/>
  <c r="G35" i="63"/>
  <c r="H35" i="63"/>
  <c r="N36" i="63" s="1"/>
  <c r="O35" i="63"/>
  <c r="O50" i="63"/>
  <c r="J35" i="63" l="1"/>
  <c r="K35" i="63" s="1"/>
  <c r="J190" i="60"/>
  <c r="H190" i="60"/>
  <c r="F190"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P50" i="63" l="1"/>
  <c r="I10" i="63" l="1"/>
  <c r="G10" i="63"/>
  <c r="H10" i="63"/>
  <c r="J10" i="63" l="1"/>
  <c r="K10" i="63" s="1"/>
  <c r="L16" i="18" l="1"/>
  <c r="L52"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8"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6" i="63" l="1"/>
  <c r="H46" i="63"/>
  <c r="G47" i="63"/>
  <c r="J46" i="63" l="1"/>
  <c r="N53" i="63" l="1"/>
  <c r="N54" i="63"/>
  <c r="S21" i="63"/>
  <c r="U21" i="63" s="1"/>
  <c r="S22" i="63"/>
  <c r="U22" i="63" s="1"/>
  <c r="S23" i="63"/>
  <c r="S24" i="63"/>
  <c r="T24" i="63"/>
  <c r="U24" i="63"/>
  <c r="J54" i="63" l="1"/>
  <c r="K54" i="63" s="1"/>
  <c r="J53" i="63"/>
  <c r="K53" i="63" s="1"/>
  <c r="M71" i="63" l="1"/>
  <c r="M67" i="63"/>
  <c r="M68" i="63"/>
  <c r="H80" i="63" l="1"/>
  <c r="J2" i="60" l="1"/>
  <c r="X513" i="18" l="1"/>
  <c r="X508" i="18"/>
  <c r="X509" i="18"/>
  <c r="X510" i="18"/>
  <c r="X511" i="18"/>
  <c r="X512" i="18"/>
  <c r="X514" i="18"/>
  <c r="X515" i="18"/>
  <c r="X516" i="18"/>
  <c r="X540" i="18"/>
  <c r="X541" i="18"/>
  <c r="X542" i="18"/>
  <c r="P26" i="63"/>
  <c r="O26" i="63"/>
  <c r="O27" i="63"/>
  <c r="O28" i="63"/>
  <c r="X507" i="18" l="1"/>
  <c r="F19" i="60" l="1"/>
  <c r="F17" i="60"/>
  <c r="F16" i="60" l="1"/>
  <c r="M70" i="63"/>
  <c r="M69" i="63"/>
  <c r="F29" i="60"/>
  <c r="E6" i="60" l="1"/>
  <c r="L6" i="60" s="1"/>
  <c r="F3" i="60" l="1"/>
  <c r="F4" i="60"/>
  <c r="F2" i="60"/>
  <c r="H79" i="63" l="1"/>
  <c r="X506" i="18" l="1"/>
  <c r="H78" i="63"/>
  <c r="N52" i="63"/>
  <c r="M66" i="63" l="1"/>
  <c r="N50" i="18"/>
  <c r="I50" i="63"/>
  <c r="G50" i="63"/>
  <c r="H50" i="63"/>
  <c r="J50" i="63" l="1"/>
  <c r="K50"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9" i="63"/>
  <c r="M60" i="63"/>
  <c r="M61" i="63"/>
  <c r="M62" i="63"/>
  <c r="M63" i="63"/>
  <c r="M64" i="63"/>
  <c r="M65" i="63"/>
  <c r="M58" i="63"/>
  <c r="H77" i="63"/>
  <c r="I29" i="68" l="1"/>
  <c r="I41" i="68" s="1"/>
  <c r="X502" i="18"/>
  <c r="H7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5" i="63"/>
  <c r="X501" i="18"/>
  <c r="X500" i="18" l="1"/>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65" i="63" l="1"/>
  <c r="G65" i="63"/>
  <c r="I64" i="63"/>
  <c r="G64" i="63"/>
  <c r="H64" i="63"/>
  <c r="J65" i="63" l="1"/>
  <c r="K65" i="63" s="1"/>
  <c r="J64" i="63"/>
  <c r="K64" i="63" s="1"/>
  <c r="Q16" i="63" l="1"/>
  <c r="G23" i="63" l="1"/>
  <c r="H23" i="63"/>
  <c r="N24" i="63" s="1"/>
  <c r="J23" i="63" l="1"/>
  <c r="K23" i="63" s="1"/>
  <c r="I22" i="63"/>
  <c r="G22" i="63"/>
  <c r="H22" i="63"/>
  <c r="N23" i="63" s="1"/>
  <c r="J22" i="63" l="1"/>
  <c r="K22" i="63" s="1"/>
  <c r="X497" i="18"/>
  <c r="X49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5" i="18" l="1"/>
  <c r="X49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0" i="18"/>
  <c r="R159" i="60" l="1"/>
  <c r="S160" i="60"/>
  <c r="X489" i="18"/>
  <c r="X488" i="18"/>
  <c r="X487" i="18"/>
  <c r="S159" i="60" l="1"/>
  <c r="R158" i="60"/>
  <c r="X486" i="18"/>
  <c r="S158" i="60" l="1"/>
  <c r="R157" i="60"/>
  <c r="I60" i="63"/>
  <c r="I61" i="63"/>
  <c r="I62" i="63"/>
  <c r="I63" i="63"/>
  <c r="I59"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85" i="18"/>
  <c r="R154" i="60" l="1"/>
  <c r="S155" i="60"/>
  <c r="X484" i="18"/>
  <c r="X483" i="18"/>
  <c r="S154" i="60" l="1"/>
  <c r="R153" i="60"/>
  <c r="E152" i="60"/>
  <c r="E154" i="60"/>
  <c r="E155" i="60"/>
  <c r="E156" i="60"/>
  <c r="E153"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81" i="18"/>
  <c r="R146" i="60" l="1"/>
  <c r="S147" i="60"/>
  <c r="X480" i="18"/>
  <c r="N30" i="18"/>
  <c r="M79" i="18" s="1"/>
  <c r="N53" i="18"/>
  <c r="S146" i="60" l="1"/>
  <c r="R145" i="60"/>
  <c r="F135" i="60"/>
  <c r="D135" i="60"/>
  <c r="D141" i="60" s="1"/>
  <c r="S145" i="60" l="1"/>
  <c r="R144" i="60"/>
  <c r="I136" i="60"/>
  <c r="R143" i="60" l="1"/>
  <c r="S144" i="60"/>
  <c r="F136" i="60"/>
  <c r="I137" i="60" s="1"/>
  <c r="F137" i="60" s="1"/>
  <c r="I138" i="60" s="1"/>
  <c r="X478" i="18"/>
  <c r="S143" i="60" l="1"/>
  <c r="R142" i="60"/>
  <c r="F138" i="60"/>
  <c r="F141" i="60" s="1"/>
  <c r="S142" i="60" l="1"/>
  <c r="R141" i="60"/>
  <c r="AK489" i="18"/>
  <c r="R140" i="60" l="1"/>
  <c r="S141" i="60"/>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59" i="63"/>
  <c r="H59" i="63"/>
  <c r="J59" i="63" s="1"/>
  <c r="K59"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X461" i="18"/>
  <c r="R119" i="60" l="1"/>
  <c r="S120" i="60"/>
  <c r="K46"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61" i="63"/>
  <c r="H61" i="63"/>
  <c r="J61" i="63" s="1"/>
  <c r="K61" i="63" s="1"/>
  <c r="G62" i="63"/>
  <c r="H62" i="63"/>
  <c r="J62" i="63" s="1"/>
  <c r="G63" i="63"/>
  <c r="H63" i="63"/>
  <c r="G60" i="63"/>
  <c r="H60" i="63"/>
  <c r="J60" i="63" s="1"/>
  <c r="K60" i="63" s="1"/>
  <c r="X451" i="18"/>
  <c r="R107" i="60" l="1"/>
  <c r="S108" i="60"/>
  <c r="J63" i="63"/>
  <c r="K63" i="63" s="1"/>
  <c r="K62"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1" i="18"/>
  <c r="I126" i="18"/>
  <c r="I127"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5" i="18"/>
  <c r="Q48" i="18" s="1"/>
  <c r="AK281" i="18"/>
  <c r="AK282" i="18" s="1"/>
  <c r="G305" i="20"/>
  <c r="I306" i="20"/>
  <c r="K306" i="20"/>
  <c r="J306" i="20"/>
  <c r="AM74" i="18"/>
  <c r="AN75" i="18"/>
  <c r="Q29" i="18" l="1"/>
  <c r="Q36" i="18"/>
  <c r="Q35" i="18"/>
  <c r="Q28" i="18"/>
  <c r="Q49" i="18"/>
  <c r="U546" i="18"/>
  <c r="W549" i="18" s="1"/>
  <c r="V559" i="18"/>
  <c r="W559" i="18" s="1"/>
  <c r="G304" i="20"/>
  <c r="I305" i="20"/>
  <c r="K305" i="20"/>
  <c r="J305" i="20"/>
  <c r="AM73" i="18"/>
  <c r="AN74" i="18"/>
  <c r="S111" i="18"/>
  <c r="W74" i="18" l="1"/>
  <c r="W152" i="18"/>
  <c r="X74" i="18"/>
  <c r="Y74" i="18"/>
  <c r="W150" i="18"/>
  <c r="W73" i="18"/>
  <c r="W72" i="18"/>
  <c r="Y72" i="18" s="1"/>
  <c r="W71" i="18"/>
  <c r="X71" i="18" s="1"/>
  <c r="W155" i="18"/>
  <c r="W151" i="18"/>
  <c r="W154" i="18"/>
  <c r="W147" i="18"/>
  <c r="X147" i="18" s="1"/>
  <c r="W149" i="18"/>
  <c r="W148" i="18"/>
  <c r="W146" i="18"/>
  <c r="W144" i="18"/>
  <c r="X144" i="18" s="1"/>
  <c r="W145" i="18"/>
  <c r="W143" i="18"/>
  <c r="W142" i="18"/>
  <c r="Y142" i="18" s="1"/>
  <c r="W70" i="18"/>
  <c r="W69" i="18"/>
  <c r="W141" i="18"/>
  <c r="X141" i="18" s="1"/>
  <c r="W68" i="18"/>
  <c r="W140" i="18"/>
  <c r="W67" i="18"/>
  <c r="W66" i="18"/>
  <c r="W102" i="18"/>
  <c r="W101" i="18"/>
  <c r="W65" i="18"/>
  <c r="W63" i="18"/>
  <c r="X63" i="18" s="1"/>
  <c r="W64" i="18"/>
  <c r="W139" i="18"/>
  <c r="W138" i="18"/>
  <c r="W62" i="18"/>
  <c r="W78" i="18"/>
  <c r="W137" i="18"/>
  <c r="X137" i="18" s="1"/>
  <c r="W135" i="18"/>
  <c r="X135" i="18" s="1"/>
  <c r="W136" i="18"/>
  <c r="W134"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1" i="18" l="1"/>
  <c r="X152" i="18"/>
  <c r="Y152" i="18"/>
  <c r="X72" i="18"/>
  <c r="X73" i="18"/>
  <c r="Y73" i="18"/>
  <c r="X150" i="18"/>
  <c r="Y150" i="18"/>
  <c r="X154" i="18"/>
  <c r="Y154" i="18"/>
  <c r="X155" i="18"/>
  <c r="Y155"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1" i="18"/>
  <c r="Y101" i="18"/>
  <c r="X102" i="18"/>
  <c r="Y102" i="18"/>
  <c r="X65" i="18"/>
  <c r="Y65" i="18"/>
  <c r="Y63" i="18"/>
  <c r="X64" i="18"/>
  <c r="Y64" i="18"/>
  <c r="Y139" i="18"/>
  <c r="X139" i="18"/>
  <c r="Y138" i="18"/>
  <c r="X138" i="18"/>
  <c r="X78" i="18"/>
  <c r="Y78" i="18"/>
  <c r="X62" i="18"/>
  <c r="Y62" i="18"/>
  <c r="Y137" i="18"/>
  <c r="Y135" i="18"/>
  <c r="Y136" i="18"/>
  <c r="X136" i="18"/>
  <c r="Y132" i="18"/>
  <c r="Y134" i="18"/>
  <c r="X134"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66" i="18"/>
  <c r="G128" i="18" s="1"/>
  <c r="G302" i="20"/>
  <c r="K303" i="20"/>
  <c r="I303" i="20"/>
  <c r="J303" i="20"/>
  <c r="Y26" i="18"/>
  <c r="X89" i="18"/>
  <c r="Y89" i="18"/>
  <c r="X25" i="18"/>
  <c r="Y25" i="18"/>
  <c r="Y24" i="18"/>
  <c r="X88" i="18"/>
  <c r="Y88" i="18"/>
  <c r="X23" i="18"/>
  <c r="X87" i="18"/>
  <c r="Y87" i="18"/>
  <c r="X86" i="18"/>
  <c r="Y86" i="18"/>
  <c r="X164" i="18"/>
  <c r="Y85" i="18"/>
  <c r="X85" i="18"/>
  <c r="X22" i="18"/>
  <c r="Y22" i="18"/>
  <c r="X20" i="18"/>
  <c r="Y20" i="18"/>
  <c r="X115" i="18"/>
  <c r="Y115" i="18"/>
  <c r="X21" i="18"/>
  <c r="Y21" i="18"/>
  <c r="AM71" i="18"/>
  <c r="AN72" i="18"/>
  <c r="X170" i="18" l="1"/>
  <c r="Y164" i="18" s="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<sst xmlns="http://schemas.openxmlformats.org/spreadsheetml/2006/main" count="17102" uniqueCount="7142">
  <si>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</si>
  <si>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</si>
  <si>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</si>
  <si>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</si>
  <si>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</si>
  <si>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</si>
  <si>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</si>
  <si>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</si>
  <si>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</si>
  <si>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</si>
  <si>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</si>
  <si>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</si>
  <si>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</si>
  <si>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</si>
  <si>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</si>
  <si>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</si>
  <si>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</si>
  <si>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</si>
  <si>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</si>
  <si>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</si>
  <si>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</si>
  <si>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</si>
  <si>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</si>
  <si>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</si>
  <si>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</si>
  <si>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</si>
  <si>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</si>
  <si>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</si>
  <si>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</si>
  <si>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</si>
  <si>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</si>
  <si>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</si>
  <si>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</si>
  <si>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</si>
  <si>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</si>
  <si>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</si>
  <si>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</si>
  <si>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</si>
  <si>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</si>
  <si>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</si>
  <si>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</si>
  <si>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</si>
  <si>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</si>
  <si>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</si>
  <si>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</si>
  <si>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</si>
  <si>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</si>
  <si>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</si>
  <si>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</si>
  <si>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</si>
  <si>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</si>
  <si>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</si>
  <si>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</si>
  <si>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</si>
  <si>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</si>
  <si>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</si>
  <si>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</si>
  <si>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</si>
  <si>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</si>
  <si>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</si>
  <si>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</si>
  <si>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</si>
  <si>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</si>
  <si>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</si>
  <si>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</si>
  <si>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</si>
  <si>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</si>
  <si>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</si>
  <si>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</si>
  <si>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</si>
  <si>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</si>
  <si>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</si>
  <si>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</si>
  <si>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</si>
  <si>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</si>
  <si>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</si>
  <si>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</si>
  <si>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</si>
  <si>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</si>
  <si>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</si>
  <si>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</si>
  <si>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</si>
  <si>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</si>
  <si>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</si>
  <si>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</si>
  <si>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</si>
  <si>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</si>
  <si>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</si>
  <si>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</si>
  <si>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</si>
  <si>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</si>
  <si>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</si>
  <si>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</si>
  <si>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</si>
  <si>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</si>
  <si>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</si>
  <si>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</si>
  <si>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</si>
  <si>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</si>
  <si>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</si>
  <si>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</si>
  <si>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</si>
  <si>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</si>
  <si>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</si>
  <si>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</si>
  <si>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</si>
  <si>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</si>
  <si>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</si>
  <si>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</si>
  <si>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</si>
  <si>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</si>
  <si>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</si>
  <si>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</si>
  <si>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</si>
  <si>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</si>
  <si>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</si>
  <si>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</si>
  <si>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</si>
  <si>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</si>
  <si>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</si>
  <si>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</si>
  <si>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</si>
  <si>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</si>
  <si>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</si>
  <si>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</si>
  <si>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</si>
  <si>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</si>
  <si>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</si>
  <si>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</si>
  <si>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</si>
  <si>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</si>
  <si>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</si>
  <si>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</si>
  <si>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</si>
  <si>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</si>
  <si>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</si>
  <si>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</si>
  <si>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</si>
  <si>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</si>
  <si>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</si>
  <si>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</si>
  <si>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</si>
  <si>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</si>
  <si>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</si>
  <si>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</si>
  <si>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</si>
  <si>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</si>
  <si>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</si>
  <si>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</si>
  <si>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</si>
  <si>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</si>
  <si>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</si>
  <si>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</si>
  <si>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</si>
  <si>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</si>
  <si>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</si>
  <si>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</si>
  <si>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</si>
  <si>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</si>
  <si>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</si>
  <si>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</si>
  <si>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</si>
  <si>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</si>
  <si>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</si>
  <si>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</si>
  <si>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</si>
  <si>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</si>
  <si>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</si>
  <si>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</si>
  <si>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</si>
  <si>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</si>
  <si>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</si>
  <si>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</si>
  <si>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</si>
  <si>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</si>
  <si>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</si>
  <si>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</si>
  <si>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</si>
  <si>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</si>
  <si>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</si>
  <si>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</si>
  <si>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</si>
  <si>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</si>
  <si>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</si>
  <si>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</si>
  <si>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</si>
  <si>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</si>
  <si>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</si>
  <si>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</si>
  <si>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</si>
  <si>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</si>
  <si>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</si>
  <si>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</si>
  <si>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</si>
  <si>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</si>
  <si>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</si>
  <si>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</si>
  <si>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</si>
  <si>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</si>
  <si>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</si>
  <si>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</si>
  <si>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</si>
  <si>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</si>
  <si>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</si>
  <si>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</si>
  <si>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</si>
  <si>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</si>
  <si>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</si>
  <si>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</si>
  <si>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</si>
  <si>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</si>
  <si>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</si>
  <si>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</si>
  <si>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</si>
  <si>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</si>
  <si>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</si>
  <si>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</si>
  <si>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</si>
  <si>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</si>
  <si>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</si>
  <si>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</si>
  <si>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</si>
  <si>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</si>
  <si>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</si>
  <si>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</si>
  <si>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</si>
  <si>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</si>
  <si>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</si>
  <si>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</si>
  <si>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</si>
  <si>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</si>
  <si>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</si>
  <si>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</si>
  <si>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</si>
  <si>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</si>
  <si>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</si>
  <si>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</si>
  <si>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</si>
  <si>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</si>
  <si>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</si>
  <si>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</si>
  <si>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</si>
  <si>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</si>
  <si>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</si>
  <si>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</si>
  <si>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</si>
  <si>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</si>
  <si>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</si>
  <si>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</si>
  <si>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</si>
  <si>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</si>
  <si>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</si>
  <si>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</si>
  <si>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</si>
  <si>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</si>
  <si>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</si>
  <si>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</si>
  <si>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</si>
  <si>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</si>
  <si>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</si>
  <si>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</si>
  <si>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</si>
  <si>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</si>
  <si>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</si>
  <si>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</si>
  <si>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</si>
  <si>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</si>
  <si>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</si>
  <si>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</si>
  <si>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</si>
  <si>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</si>
  <si>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</si>
  <si>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</si>
  <si>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</si>
  <si>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</si>
  <si>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</si>
  <si>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</si>
  <si>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</si>
  <si>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</si>
  <si>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</si>
  <si>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</si>
  <si>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</si>
  <si>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</si>
  <si>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</si>
  <si>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</si>
  <si>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</si>
  <si>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</si>
  <si>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</si>
  <si>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</si>
  <si>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</si>
  <si>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</si>
  <si>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</si>
  <si>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</si>
  <si>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</si>
  <si>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</si>
  <si>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</si>
  <si>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</si>
  <si>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</si>
  <si>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</si>
  <si>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</si>
  <si>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</si>
  <si>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</si>
  <si>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</si>
  <si>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</si>
  <si>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</si>
  <si>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</si>
  <si>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</si>
  <si>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</si>
  <si>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</si>
  <si>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</si>
  <si>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</si>
  <si>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</si>
  <si>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</si>
  <si>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</si>
  <si>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</si>
  <si>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</si>
  <si>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</si>
  <si>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</si>
  <si>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</si>
  <si>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</si>
  <si>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</si>
  <si>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</si>
  <si>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</si>
  <si>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</si>
  <si>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</si>
  <si>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</si>
  <si>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</si>
  <si>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</si>
  <si>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</si>
  <si>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</si>
  <si>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</si>
  <si>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</si>
  <si>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</si>
  <si>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</si>
  <si>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</si>
  <si>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</si>
  <si>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</si>
  <si>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</si>
  <si>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</si>
  <si>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</si>
  <si>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</si>
  <si>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</si>
  <si>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</si>
  <si>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</si>
  <si>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</si>
  <si>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</si>
  <si>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</si>
  <si>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</si>
  <si>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</si>
  <si>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</si>
  <si>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</si>
  <si>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</si>
  <si>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</si>
  <si>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</si>
  <si>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</si>
  <si>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</si>
  <si>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</si>
  <si>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</si>
  <si>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</si>
  <si>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</si>
  <si>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</si>
  <si>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</si>
  <si>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</si>
  <si>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</si>
  <si>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</si>
  <si>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</si>
  <si>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</si>
  <si>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</si>
  <si>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</si>
  <si>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</si>
  <si>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</si>
  <si>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</si>
  <si>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</si>
  <si>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</si>
  <si>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</si>
  <si>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</si>
  <si>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</si>
  <si>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</si>
  <si>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</si>
  <si>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</si>
  <si>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</si>
  <si>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</si>
  <si>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</si>
  <si>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</si>
  <si>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</si>
  <si>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</si>
  <si>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</si>
  <si>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</si>
  <si>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</si>
  <si>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</si>
  <si>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</si>
  <si>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</si>
  <si>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</si>
  <si>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</si>
  <si>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</si>
  <si>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</si>
  <si>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</si>
  <si>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</si>
  <si>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</si>
  <si>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</si>
  <si>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</si>
  <si>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</si>
  <si>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</si>
  <si>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</si>
  <si>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</si>
  <si>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</si>
  <si>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</si>
  <si>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</si>
  <si>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</si>
  <si>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</si>
  <si>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</si>
  <si>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</si>
  <si>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</si>
  <si>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</si>
  <si>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</si>
  <si>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</si>
  <si>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</si>
  <si>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</si>
  <si>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</si>
  <si>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</si>
  <si>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</si>
  <si>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</si>
  <si>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</si>
  <si>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</si>
  <si>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</si>
  <si>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</si>
  <si>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</si>
  <si>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</si>
  <si>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</si>
  <si>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</si>
  <si>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</si>
  <si>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</si>
  <si>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</si>
  <si>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</si>
  <si>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</si>
  <si>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</si>
  <si>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</si>
  <si>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</si>
  <si>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</si>
  <si>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</si>
  <si>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</si>
  <si>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</si>
  <si>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</si>
  <si>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</si>
  <si>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</si>
  <si>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</si>
  <si>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</si>
  <si>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</si>
  <si>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</si>
  <si>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</si>
  <si>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</si>
  <si>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</si>
  <si>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</si>
  <si>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</si>
  <si>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</si>
  <si>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</si>
  <si>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</si>
  <si>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</si>
  <si>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</si>
  <si>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</si>
  <si>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</si>
  <si>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</si>
  <si>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</si>
  <si>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</si>
  <si>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</si>
  <si>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</si>
  <si>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</si>
  <si>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</si>
  <si>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</si>
  <si>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</si>
  <si>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</si>
  <si>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</si>
  <si>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</si>
  <si>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</si>
  <si>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</si>
  <si>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</si>
  <si>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</si>
  <si>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</si>
  <si>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</si>
  <si>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</si>
  <si>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</si>
  <si>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</si>
  <si>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</si>
  <si>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</si>
  <si>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</si>
  <si>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</si>
  <si>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</si>
  <si>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</si>
  <si>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</si>
  <si>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</si>
  <si>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</si>
  <si>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</si>
  <si>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</si>
  <si>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</si>
  <si>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</si>
  <si>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</si>
  <si>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</si>
  <si>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</si>
  <si>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</si>
  <si>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</si>
  <si>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</si>
  <si>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</si>
  <si>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</si>
  <si>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</si>
  <si>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</si>
  <si>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</si>
  <si>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</si>
  <si>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</si>
  <si>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</si>
  <si>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</si>
  <si>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</si>
  <si>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</si>
  <si>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</si>
  <si>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</si>
  <si>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</si>
  <si>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</si>
  <si>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</si>
  <si>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</si>
  <si>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</si>
  <si>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</si>
  <si>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</si>
  <si>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</si>
  <si>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</si>
  <si>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</si>
  <si>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</si>
  <si>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</si>
  <si>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</si>
  <si>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</si>
  <si>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</si>
  <si>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</si>
  <si>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</si>
  <si>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</si>
  <si>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</si>
  <si>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</si>
  <si>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</si>
  <si>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</si>
  <si>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</si>
  <si>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</si>
  <si>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</si>
  <si>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</si>
  <si>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</si>
  <si>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</si>
  <si>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</si>
  <si>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</si>
  <si>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</si>
  <si>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</si>
  <si>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</si>
  <si>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</si>
  <si>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</si>
  <si>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</si>
  <si>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</si>
  <si>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</si>
  <si>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</si>
  <si>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</si>
  <si>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</si>
  <si>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</si>
  <si>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</si>
  <si>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</si>
  <si>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</si>
  <si>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</si>
  <si>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</si>
  <si>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</si>
  <si>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</si>
  <si>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</si>
  <si>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</si>
  <si>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</si>
  <si>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</si>
  <si>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</si>
  <si>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</si>
  <si>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</si>
  <si>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</si>
  <si>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</si>
  <si>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</si>
  <si>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</si>
  <si>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</si>
  <si>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</si>
  <si>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</si>
  <si>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</si>
  <si>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</si>
  <si>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</si>
  <si>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</si>
  <si>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</si>
  <si>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</si>
  <si>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</si>
  <si>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</si>
  <si>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</si>
  <si>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</si>
  <si>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</si>
  <si>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</si>
  <si>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</si>
  <si>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</si>
  <si>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</si>
  <si>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</si>
  <si>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</si>
  <si>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</si>
  <si>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</si>
  <si>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</si>
  <si>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</si>
  <si>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</si>
  <si>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</si>
  <si>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</si>
  <si>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</si>
  <si>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</si>
  <si>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</si>
  <si>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</si>
  <si>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</si>
  <si>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</si>
  <si>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</si>
  <si>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</si>
  <si>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</si>
  <si>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</si>
  <si>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</si>
  <si>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</si>
  <si>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</si>
  <si>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</si>
  <si>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</si>
  <si>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</si>
  <si>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</si>
  <si>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</si>
  <si>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</si>
  <si>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</si>
  <si>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</si>
  <si>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</si>
  <si>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</si>
  <si>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</si>
  <si>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</si>
  <si>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</si>
  <si>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</si>
  <si>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</si>
  <si>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</si>
  <si>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</si>
  <si>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</si>
  <si>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</si>
  <si>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</si>
  <si>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</si>
  <si>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</si>
  <si>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</si>
  <si>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</si>
  <si>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</si>
  <si>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</si>
  <si>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</si>
  <si>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</si>
  <si>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</si>
  <si>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</si>
  <si>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</si>
  <si>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</si>
  <si>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</si>
  <si>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</si>
  <si>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</si>
  <si>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</si>
  <si>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</si>
  <si>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</si>
  <si>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</si>
  <si>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</si>
  <si>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</si>
  <si>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</si>
  <si>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</si>
  <si>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</si>
  <si>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</si>
  <si>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</si>
  <si>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</si>
  <si>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</si>
  <si>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</si>
  <si>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</si>
  <si>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</si>
  <si>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</si>
  <si>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</si>
  <si>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</si>
  <si>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</si>
  <si>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</si>
  <si>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</si>
  <si>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</si>
  <si>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</si>
  <si>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</si>
  <si>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</si>
  <si>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</si>
  <si>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</si>
  <si>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</si>
  <si>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</si>
  <si>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</si>
  <si>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</si>
  <si>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</si>
  <si>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</si>
  <si>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</si>
  <si>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</si>
  <si>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</si>
  <si>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</si>
  <si>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</si>
  <si>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</si>
  <si>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</si>
  <si>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</si>
  <si>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</si>
  <si>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</si>
  <si>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</si>
  <si>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</si>
  <si>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</si>
  <si>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</si>
  <si>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</si>
  <si>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</si>
  <si>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</si>
  <si>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</si>
  <si>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</si>
  <si>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</si>
  <si>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</si>
  <si>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</si>
  <si>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</si>
  <si>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</si>
  <si>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</si>
  <si>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</si>
  <si>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</si>
  <si>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</si>
  <si>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</si>
  <si>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</si>
  <si>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</si>
  <si>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</si>
  <si>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</si>
  <si>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</si>
  <si>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</si>
  <si>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</si>
  <si>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</si>
  <si>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</si>
  <si>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</si>
  <si>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</si>
  <si>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</si>
  <si>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</si>
  <si>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</si>
  <si>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</si>
  <si>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</si>
  <si>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</si>
  <si>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</si>
  <si>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</si>
  <si>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</si>
  <si>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</si>
  <si>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</si>
  <si>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</si>
  <si>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</si>
  <si>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</si>
  <si>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</si>
  <si>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</si>
  <si>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</si>
  <si>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</si>
  <si>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</si>
  <si>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</si>
  <si>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</si>
  <si>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</si>
  <si>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</si>
  <si>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</si>
  <si>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</si>
  <si>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</si>
  <si>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</si>
  <si>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</si>
  <si>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</si>
  <si>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</si>
  <si>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</si>
  <si>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</si>
  <si>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</si>
  <si>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</si>
  <si>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</si>
  <si>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</si>
  <si>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</si>
  <si>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</si>
  <si>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</si>
  <si>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</si>
  <si>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</si>
  <si>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</si>
  <si>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</si>
  <si>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</si>
  <si>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</si>
  <si>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</si>
  <si>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</si>
  <si>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</si>
  <si>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</si>
  <si>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</si>
  <si>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</si>
  <si>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</si>
  <si>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</si>
  <si>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</si>
  <si>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</si>
  <si>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</si>
  <si>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</si>
  <si>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</si>
  <si>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</si>
  <si>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</si>
  <si>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</si>
  <si>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</si>
  <si>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</si>
  <si>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</si>
  <si>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</si>
  <si>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</si>
  <si>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</si>
  <si>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</si>
  <si>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</si>
  <si>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</si>
  <si>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</si>
  <si>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</si>
  <si>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</si>
  <si>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</si>
  <si>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</si>
  <si>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</si>
  <si>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</si>
  <si>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</si>
  <si>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</si>
  <si>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</si>
  <si>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</si>
  <si>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</si>
  <si>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</si>
  <si>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</si>
  <si>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</si>
  <si>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</si>
  <si>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</si>
  <si>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</si>
  <si>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</si>
  <si>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</si>
  <si>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</si>
  <si>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</si>
  <si>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</si>
  <si>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</si>
  <si>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</si>
  <si>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</si>
  <si>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</si>
  <si>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</si>
  <si>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</si>
  <si>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</si>
  <si>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</si>
  <si>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</si>
  <si>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</si>
  <si>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</si>
  <si>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</si>
  <si>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</si>
  <si>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</si>
  <si>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</si>
  <si>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</si>
  <si>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</si>
  <si>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</si>
  <si>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</si>
  <si>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</si>
  <si>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</si>
  <si>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</si>
  <si>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</si>
  <si>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</si>
  <si>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</si>
  <si>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</si>
  <si>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</si>
  <si>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</si>
  <si>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</si>
  <si>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</si>
  <si>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</si>
  <si>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</si>
  <si>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</si>
  <si>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</si>
  <si>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</si>
  <si>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</si>
  <si>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</si>
  <si>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</si>
  <si>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</si>
  <si>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</si>
  <si>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</si>
  <si>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</si>
  <si>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</si>
  <si>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</si>
  <si>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</si>
  <si>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</si>
  <si>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</si>
  <si>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</si>
  <si>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</si>
  <si>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</si>
  <si>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</si>
  <si>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</si>
  <si>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</si>
  <si>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</si>
  <si>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</si>
  <si>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</si>
  <si>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</si>
  <si>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</si>
  <si>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</si>
  <si>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</si>
  <si>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</si>
  <si>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</si>
  <si>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</si>
  <si>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</si>
  <si>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</si>
  <si>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</si>
  <si>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</si>
  <si>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</si>
  <si>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</si>
  <si>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</si>
  <si>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</si>
  <si>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</si>
  <si>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</si>
  <si>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</si>
  <si>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</si>
  <si>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</si>
  <si>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</si>
  <si>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</si>
  <si>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</si>
  <si>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</si>
  <si>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</si>
  <si>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</si>
  <si>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</si>
  <si>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</si>
  <si>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</si>
  <si>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</si>
  <si>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</si>
  <si>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</si>
  <si>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</si>
  <si>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</si>
  <si>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</si>
  <si>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</si>
  <si>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</si>
  <si>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</si>
  <si>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</si>
  <si>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</si>
  <si>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</si>
  <si>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</si>
  <si>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</si>
  <si>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</si>
  <si>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</si>
  <si>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</si>
  <si>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</si>
  <si>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</si>
  <si>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</si>
  <si>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</si>
  <si>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</si>
  <si>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</si>
  <si>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</si>
  <si>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</si>
  <si>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</si>
  <si>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</si>
  <si>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</si>
  <si>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</si>
  <si>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</si>
  <si>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</si>
  <si>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</si>
  <si>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</si>
  <si>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</si>
  <si>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</si>
  <si>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</si>
  <si>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</si>
  <si>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</si>
  <si>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</si>
  <si>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</si>
  <si>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</si>
  <si>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</si>
  <si>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</si>
  <si>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</si>
  <si>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</si>
  <si>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</si>
  <si>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</si>
  <si>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</si>
  <si>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</si>
  <si>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</si>
  <si>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</si>
  <si>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</si>
  <si>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</si>
  <si>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</si>
  <si>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</si>
  <si>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</si>
  <si>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</si>
  <si>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</si>
  <si>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</si>
  <si>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</si>
  <si>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</si>
  <si>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</si>
  <si>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</si>
  <si>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</si>
  <si>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</si>
  <si>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</si>
  <si>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</si>
  <si>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</si>
  <si>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</si>
  <si>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</si>
  <si>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</si>
  <si>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</si>
  <si>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</si>
  <si>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</si>
  <si>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</si>
  <si>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</si>
  <si>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</si>
  <si>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</si>
  <si>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</si>
  <si>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</si>
  <si>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</si>
  <si>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</si>
  <si>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</si>
  <si>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</si>
  <si>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</si>
  <si>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</si>
  <si>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</si>
  <si>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</si>
  <si>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</si>
  <si>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</si>
  <si>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</si>
  <si>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</si>
  <si>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</si>
  <si>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</si>
  <si>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</si>
  <si>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</si>
  <si>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</si>
  <si>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</si>
  <si>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</si>
  <si>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</si>
  <si>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</si>
  <si>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</si>
  <si>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</si>
  <si>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</si>
  <si>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</si>
  <si>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</si>
  <si>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</si>
  <si>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</si>
  <si>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</si>
  <si>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</si>
  <si>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</si>
  <si>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</si>
  <si>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</si>
  <si>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</si>
  <si>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</si>
  <si>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</si>
  <si>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</si>
  <si>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</si>
  <si>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</si>
  <si>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</si>
  <si>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</si>
  <si>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</si>
  <si>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</si>
  <si>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</si>
  <si>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</si>
  <si>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</si>
  <si>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</si>
  <si>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</si>
  <si>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</si>
  <si>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</si>
  <si>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</si>
  <si>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</si>
  <si>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</si>
  <si>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</si>
  <si>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</si>
  <si>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</si>
  <si>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</si>
  <si>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</si>
  <si>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</si>
  <si>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</si>
  <si>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</si>
  <si>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</si>
  <si>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</si>
  <si>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</si>
  <si>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</si>
  <si>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</si>
  <si>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</si>
  <si>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</si>
  <si>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</si>
  <si>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</si>
  <si>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</si>
  <si>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</si>
  <si>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</si>
  <si>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</si>
  <si>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</si>
  <si>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</si>
  <si>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</si>
  <si>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</si>
  <si>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</si>
  <si>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</si>
  <si>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</si>
  <si>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</si>
  <si>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</si>
  <si>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</si>
  <si>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</si>
  <si>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</si>
  <si>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</si>
  <si>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</si>
  <si>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</si>
  <si>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</si>
  <si>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</si>
  <si>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</si>
  <si>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</si>
  <si>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</si>
  <si>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</si>
  <si>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</si>
  <si>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</si>
  <si>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</si>
  <si>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</si>
  <si>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</si>
  <si>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</si>
  <si>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</si>
  <si>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</si>
  <si>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</si>
  <si>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</si>
  <si>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</si>
  <si>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</si>
  <si>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</si>
  <si>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</si>
  <si>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</si>
  <si>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</si>
  <si>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</si>
  <si>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</si>
  <si>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</si>
  <si>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</si>
  <si>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</si>
  <si>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</si>
  <si>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</si>
  <si>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</si>
  <si>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</si>
  <si>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</si>
  <si>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</si>
  <si>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</si>
  <si>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</si>
  <si>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</si>
  <si>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</si>
  <si>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</si>
  <si>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</si>
  <si>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</si>
  <si>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</si>
  <si>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</si>
  <si>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</si>
  <si>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</si>
  <si>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</si>
  <si>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</si>
  <si>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</si>
  <si>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</si>
  <si>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</si>
  <si>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</si>
  <si>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</si>
  <si>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</si>
  <si>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</si>
  <si>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</si>
  <si>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</si>
  <si>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</si>
  <si>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</si>
  <si>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</si>
  <si>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</si>
  <si>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</si>
  <si>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</si>
  <si>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</si>
  <si>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</si>
  <si>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</si>
  <si>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</si>
  <si>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</si>
  <si>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</si>
  <si>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</si>
  <si>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</si>
  <si>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</si>
  <si>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</si>
  <si>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</si>
  <si>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</si>
  <si>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</si>
  <si>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</si>
  <si>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</si>
  <si>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</si>
  <si>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</si>
  <si>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</si>
  <si>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</si>
  <si>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</si>
  <si>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</si>
  <si>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</si>
  <si>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</si>
  <si>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</si>
  <si>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</si>
  <si>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</si>
  <si>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</si>
  <si>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</si>
  <si>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</si>
  <si>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</si>
  <si>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</si>
  <si>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</si>
  <si>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</si>
  <si>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</si>
  <si>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</si>
  <si>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</si>
  <si>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</si>
  <si>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</si>
  <si>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</si>
  <si>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</si>
  <si>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</si>
  <si>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</si>
  <si>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</si>
  <si>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</si>
  <si>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</si>
  <si>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</si>
  <si>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</si>
  <si>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</si>
  <si>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</si>
  <si>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</si>
  <si>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</si>
  <si>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</si>
  <si>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</si>
  <si>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</si>
  <si>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</si>
  <si>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</si>
  <si>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</si>
  <si>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</si>
  <si>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</si>
  <si>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</si>
  <si>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</si>
  <si>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</si>
  <si>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</si>
  <si>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</si>
  <si>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</si>
  <si>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</si>
  <si>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</si>
  <si>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</si>
  <si>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</si>
  <si>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</si>
  <si>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</si>
  <si>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</si>
  <si>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</si>
  <si>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</si>
  <si>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</si>
  <si>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</si>
  <si>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</si>
  <si>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</si>
  <si>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</si>
  <si>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</si>
  <si>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</si>
  <si>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</si>
  <si>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</si>
  <si>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</si>
  <si>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</si>
  <si>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</si>
  <si>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</si>
  <si>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</si>
  <si>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</si>
  <si>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</si>
  <si>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</si>
  <si>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</si>
  <si>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</si>
  <si>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</si>
  <si>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</si>
  <si>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</si>
  <si>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</si>
  <si>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</si>
  <si>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</si>
  <si>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</si>
  <si>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</si>
  <si>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</si>
  <si>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</si>
  <si>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</si>
  <si>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</si>
  <si>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</si>
  <si>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</si>
  <si>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</si>
  <si>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</si>
  <si>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</si>
  <si>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</si>
  <si>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</si>
  <si>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</si>
  <si>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</si>
  <si>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</si>
  <si>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</si>
  <si>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</si>
  <si>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</si>
  <si>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</si>
  <si>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</si>
  <si>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</si>
  <si>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</si>
  <si>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</si>
  <si>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</si>
  <si>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</si>
  <si>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</si>
  <si>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</si>
  <si>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</si>
  <si>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</si>
  <si>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</si>
  <si>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</si>
  <si>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</si>
  <si>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</si>
  <si>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</si>
  <si>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</si>
  <si>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</si>
  <si>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</si>
  <si>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</si>
  <si>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</si>
  <si>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</si>
  <si>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</si>
  <si>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</si>
  <si>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</si>
  <si>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</si>
  <si>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</si>
  <si>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</si>
  <si>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</si>
  <si>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</si>
  <si>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</si>
  <si>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</si>
  <si>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</si>
  <si>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</si>
  <si>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</si>
  <si>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</si>
  <si>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</si>
  <si>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</si>
  <si>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</si>
  <si>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</si>
  <si>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</si>
  <si>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</si>
  <si>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</si>
  <si>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</si>
  <si>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</si>
  <si>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</si>
  <si>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</si>
  <si>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</si>
  <si>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</si>
  <si>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</si>
  <si>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</si>
  <si>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</si>
  <si>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</si>
  <si>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</si>
  <si>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</si>
  <si>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</si>
  <si>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</si>
  <si>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</si>
  <si>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</si>
  <si>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</si>
  <si>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</si>
  <si>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</si>
  <si>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</si>
  <si>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</si>
  <si>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</si>
  <si>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</si>
  <si>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</si>
  <si>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</si>
  <si>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</si>
  <si>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</si>
  <si>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</si>
  <si>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</si>
  <si>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</si>
  <si>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</si>
  <si>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</si>
  <si>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</si>
  <si>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</si>
  <si>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</si>
  <si>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</si>
  <si>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</si>
  <si>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</si>
  <si>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</si>
  <si>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</si>
  <si>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</si>
  <si>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</si>
  <si>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</si>
  <si>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</si>
  <si>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</si>
  <si>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</si>
  <si>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</si>
  <si>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</si>
  <si>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</si>
  <si>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</si>
  <si>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</si>
  <si>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</si>
  <si>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</si>
  <si>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</si>
  <si>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</si>
  <si>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</si>
  <si>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</si>
  <si>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</si>
  <si>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</si>
  <si>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</si>
  <si>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</si>
  <si>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</si>
  <si>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</si>
  <si>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</si>
  <si>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</si>
  <si>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</si>
  <si>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</si>
  <si>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</si>
  <si>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</si>
  <si>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</si>
  <si>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</si>
  <si>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</si>
  <si>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</si>
  <si>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</si>
  <si>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</si>
  <si>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</si>
  <si>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</si>
  <si>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</si>
  <si>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</si>
  <si>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</si>
  <si>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</si>
  <si>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</si>
  <si>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</si>
  <si>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</si>
  <si>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</si>
  <si>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</si>
  <si>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</si>
  <si>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</si>
  <si>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</si>
  <si>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</si>
  <si>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</si>
  <si>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</si>
  <si>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</si>
  <si>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</si>
  <si>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</si>
  <si>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</si>
  <si>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</si>
  <si>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</si>
  <si>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</si>
  <si>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</si>
  <si>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</si>
  <si>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</si>
  <si>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</si>
  <si>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</si>
  <si>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</si>
  <si>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</si>
  <si>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</si>
  <si>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</si>
  <si>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</si>
  <si>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</si>
  <si>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</si>
  <si>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</si>
  <si>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</si>
  <si>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</si>
  <si>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</si>
  <si>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</si>
  <si>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</si>
  <si>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</si>
  <si>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</si>
  <si>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</si>
  <si>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</si>
  <si>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</si>
  <si>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</si>
  <si>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</si>
  <si>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</si>
  <si>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</si>
  <si>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</si>
  <si>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</si>
  <si>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</si>
  <si>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</si>
  <si>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</si>
  <si>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</si>
  <si>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</si>
  <si>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</si>
  <si>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</si>
  <si>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</si>
  <si>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</si>
  <si>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</si>
  <si>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</si>
  <si>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</si>
  <si>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</si>
  <si>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</si>
  <si>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</si>
  <si>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</si>
  <si>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</si>
  <si>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</si>
  <si>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</si>
  <si>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</si>
  <si>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</si>
  <si>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</si>
  <si>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</si>
  <si>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</si>
  <si>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</si>
  <si>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</si>
  <si>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</si>
  <si>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</si>
  <si>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</si>
  <si>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</si>
  <si>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</si>
  <si>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</si>
  <si>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</si>
  <si>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</si>
  <si>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</si>
  <si>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</si>
  <si>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</si>
  <si>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</si>
  <si>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</si>
  <si>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</si>
  <si>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</si>
  <si>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</si>
  <si>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</si>
  <si>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</si>
  <si>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</si>
  <si>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</si>
  <si>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</si>
  <si>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</si>
  <si>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</si>
  <si>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</si>
  <si>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</si>
  <si>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</si>
  <si>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</si>
  <si>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</si>
  <si>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</si>
  <si>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</si>
  <si>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</si>
  <si>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</si>
  <si>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</si>
  <si>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</si>
  <si>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</si>
  <si>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</si>
  <si>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</si>
  <si>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</si>
  <si>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</si>
  <si>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</si>
  <si>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</si>
  <si>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</si>
  <si>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</si>
  <si>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</si>
  <si>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</si>
  <si>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</si>
  <si>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</si>
  <si>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</si>
  <si>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</si>
  <si>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</si>
  <si>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</si>
  <si>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</si>
  <si>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</si>
  <si>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</si>
  <si>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</si>
  <si>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</si>
  <si>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</si>
  <si>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</si>
  <si>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</si>
  <si>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</si>
  <si>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</si>
  <si>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</si>
  <si>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</si>
  <si>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</si>
  <si>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</si>
  <si>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</si>
  <si>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</si>
  <si>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</si>
  <si>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</si>
  <si>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</si>
  <si>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</si>
  <si>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</si>
  <si>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</si>
  <si>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</si>
  <si>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</si>
  <si>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</si>
  <si>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</si>
  <si>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</si>
  <si>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</si>
  <si>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</si>
  <si>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</si>
  <si>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</si>
  <si>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</si>
  <si>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</si>
  <si>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</si>
  <si>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</si>
  <si>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</si>
  <si>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</si>
  <si>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</si>
  <si>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</si>
  <si>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</si>
  <si>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</si>
  <si>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</si>
  <si>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</si>
  <si>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</si>
  <si>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</si>
  <si>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</si>
  <si>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</si>
  <si>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</si>
  <si>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</si>
  <si>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</si>
  <si>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</si>
  <si>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</si>
  <si>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</si>
  <si>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</si>
  <si>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</si>
  <si>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</si>
  <si>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</si>
  <si>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</si>
  <si>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</si>
  <si>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</si>
  <si>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</si>
  <si>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</si>
  <si>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</si>
  <si>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</si>
  <si>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</si>
  <si>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</si>
  <si>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</si>
  <si>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</si>
  <si>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</si>
  <si>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</si>
  <si>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</si>
  <si>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</si>
  <si>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</si>
  <si>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</si>
  <si>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</si>
  <si>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</si>
  <si>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</si>
  <si>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</si>
  <si>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</si>
  <si>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</si>
  <si>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</si>
  <si>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</si>
  <si>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</si>
  <si>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</si>
  <si>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</si>
  <si>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</si>
  <si>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</si>
  <si>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</si>
  <si>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</si>
  <si>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</si>
  <si>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</si>
  <si>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</si>
  <si>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</si>
  <si>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</si>
  <si>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</si>
  <si>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</si>
  <si>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</si>
  <si>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</si>
  <si>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</si>
  <si>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</si>
  <si>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</si>
  <si>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</si>
  <si>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</si>
  <si>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</si>
  <si>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</si>
  <si>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</si>
  <si>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</si>
  <si>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</si>
  <si>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</si>
  <si>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</si>
  <si>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</si>
  <si>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</si>
  <si>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</si>
  <si>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</si>
  <si>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</si>
  <si>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</si>
  <si>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</si>
  <si>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</si>
  <si>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</si>
  <si>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</si>
  <si>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</si>
  <si>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</si>
  <si>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</si>
  <si>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</si>
  <si>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</si>
  <si>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</si>
  <si>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</si>
  <si>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</si>
  <si>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</si>
  <si>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</si>
  <si>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</si>
  <si>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</si>
  <si>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</si>
  <si>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</si>
  <si>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</si>
  <si>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</si>
  <si>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</si>
  <si>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</si>
  <si>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</si>
  <si>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</si>
  <si>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</si>
  <si>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</si>
  <si>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</si>
  <si>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</si>
  <si>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</si>
  <si>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</si>
  <si>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</si>
  <si>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</si>
  <si>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</si>
  <si>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</si>
  <si>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</si>
  <si>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</si>
  <si>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</si>
  <si>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</si>
  <si>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</si>
  <si>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</si>
  <si>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</si>
  <si>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</si>
  <si>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</si>
  <si>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</si>
  <si>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</si>
  <si>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</si>
  <si>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</si>
  <si>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</si>
  <si>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</si>
  <si>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</si>
  <si>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</si>
  <si>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</si>
  <si>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</si>
  <si>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</si>
  <si>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</si>
  <si>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</si>
  <si>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</si>
  <si>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</si>
  <si>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</si>
  <si>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</si>
  <si>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</si>
  <si>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</si>
  <si>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</si>
  <si>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</si>
  <si>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</si>
  <si>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</si>
  <si>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</si>
  <si>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</si>
  <si>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</si>
  <si>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</si>
  <si>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</si>
  <si>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</si>
  <si>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</si>
  <si>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</si>
  <si>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</si>
  <si>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</si>
  <si>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</si>
  <si>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</si>
  <si>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</si>
  <si>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</si>
  <si>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</si>
  <si>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</si>
  <si>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</si>
  <si>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</si>
  <si>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</si>
  <si>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</si>
  <si>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</si>
  <si>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</si>
  <si>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</si>
  <si>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</si>
  <si>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</si>
  <si>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</si>
  <si>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</si>
  <si>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</si>
  <si>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</si>
  <si>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</si>
  <si>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</si>
  <si>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</si>
  <si>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</si>
  <si>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</si>
  <si>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</si>
  <si>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</si>
  <si>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</si>
  <si>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</si>
  <si>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</si>
  <si>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</si>
  <si>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</si>
  <si>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</si>
  <si>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</si>
  <si>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</si>
  <si>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</si>
  <si>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</si>
  <si>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</si>
  <si>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</si>
  <si>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</si>
  <si>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</si>
  <si>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</si>
  <si>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</si>
  <si>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</si>
  <si>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</si>
  <si>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</si>
  <si>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</si>
  <si>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</si>
  <si>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</si>
  <si>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</si>
  <si>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</si>
  <si>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</si>
  <si>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</si>
  <si>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</si>
  <si>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</si>
  <si>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</si>
  <si>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</si>
  <si>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</si>
  <si>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</si>
  <si>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</si>
  <si>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</si>
  <si>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</si>
  <si>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</si>
  <si>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</si>
  <si>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</si>
  <si>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</si>
  <si>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</si>
  <si>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</si>
  <si>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</si>
  <si>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</si>
  <si>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</si>
  <si>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</si>
  <si>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</si>
  <si>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</si>
  <si>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</si>
  <si>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</si>
  <si>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</si>
  <si>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</si>
  <si>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</si>
  <si>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</si>
  <si>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</si>
  <si>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</si>
  <si>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</si>
  <si>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</si>
  <si>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</si>
  <si>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</si>
  <si>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</si>
  <si>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</si>
  <si>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</si>
  <si>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</si>
  <si>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</si>
  <si>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</si>
  <si>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</si>
  <si>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</si>
  <si>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</si>
  <si>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</si>
  <si>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</si>
  <si>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</si>
  <si>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</si>
  <si>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</si>
  <si>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</si>
  <si>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</si>
  <si>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</si>
  <si>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</si>
  <si>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</si>
  <si>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</si>
  <si>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</si>
  <si>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</si>
  <si>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</si>
  <si>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</si>
  <si>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</si>
  <si>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</si>
  <si>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</si>
  <si>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</si>
  <si>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</si>
  <si>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</si>
  <si>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</si>
  <si>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</si>
  <si>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</si>
  <si>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</si>
  <si>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</si>
  <si>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</si>
  <si>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</si>
  <si>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</si>
  <si>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</si>
  <si>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</si>
  <si>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</si>
  <si>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</si>
  <si>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</si>
  <si>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</si>
  <si>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</si>
  <si>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</si>
  <si>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</si>
  <si>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</si>
  <si>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</si>
  <si>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</si>
  <si>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</si>
  <si>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</si>
  <si>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</si>
  <si>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</si>
  <si>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</si>
  <si>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</si>
  <si>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</si>
  <si>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</si>
  <si>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</si>
  <si>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</si>
  <si>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</si>
  <si>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</si>
  <si>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</si>
  <si>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</si>
  <si>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</si>
  <si>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</si>
  <si>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</si>
  <si>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</si>
  <si>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</si>
  <si>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</si>
  <si>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</si>
  <si>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</si>
  <si>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</si>
  <si>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</si>
  <si>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</si>
  <si>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</si>
  <si>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</si>
  <si>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</si>
  <si>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</si>
  <si>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</si>
  <si>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</si>
  <si>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</si>
  <si>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</si>
  <si>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</si>
  <si>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</si>
  <si>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</si>
  <si>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</si>
  <si>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</si>
  <si>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</si>
  <si>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</si>
  <si>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</si>
  <si>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</si>
  <si>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</si>
  <si>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</si>
  <si>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</si>
  <si>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</si>
  <si>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</si>
  <si>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</si>
  <si>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</si>
  <si>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</si>
  <si>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</si>
  <si>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</si>
  <si>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</si>
  <si>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</si>
  <si>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</si>
  <si>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</si>
  <si>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</si>
  <si>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</si>
  <si>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</si>
  <si>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</si>
  <si>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</si>
  <si>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</si>
  <si>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</si>
  <si>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</si>
  <si>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</si>
  <si>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</si>
  <si>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</si>
  <si>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</si>
  <si>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</si>
  <si>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</si>
  <si>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</si>
  <si>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</si>
  <si>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</si>
  <si>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</si>
  <si>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</si>
  <si>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</si>
  <si>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</si>
  <si>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</si>
  <si>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</si>
  <si>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</si>
  <si>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</si>
  <si>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</si>
  <si>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</si>
  <si>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</si>
  <si>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</si>
  <si>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</si>
  <si>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</si>
  <si>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</si>
  <si>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</si>
  <si>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</si>
  <si>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</si>
  <si>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</si>
  <si>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</si>
  <si>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</si>
  <si>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</si>
  <si>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</si>
  <si>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</si>
  <si>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</si>
  <si>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</si>
  <si>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</si>
  <si>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</si>
  <si>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</si>
  <si>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</si>
  <si>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</si>
  <si>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</si>
  <si>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</si>
  <si>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</si>
  <si>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</si>
  <si>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</si>
  <si>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</si>
  <si>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</si>
  <si>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</si>
  <si>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</si>
  <si>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</si>
  <si>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</si>
  <si>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</si>
  <si>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</si>
  <si>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</si>
  <si>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</si>
  <si>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</si>
  <si>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</si>
  <si>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</si>
  <si>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</si>
  <si>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</si>
  <si>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</si>
  <si>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</si>
  <si>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</si>
  <si>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</si>
  <si>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</si>
  <si>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</si>
  <si>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</si>
  <si>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</si>
  <si>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</si>
  <si>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</si>
  <si>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</si>
  <si>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</si>
  <si>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</si>
  <si>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</si>
  <si>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</si>
  <si>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</si>
  <si>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</si>
  <si>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</si>
  <si>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</si>
  <si>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</si>
  <si>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</si>
  <si>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</si>
  <si>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</si>
  <si>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</si>
  <si>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</si>
  <si>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</si>
  <si>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</si>
  <si>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</si>
  <si>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</si>
  <si>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</si>
  <si>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</si>
  <si>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</si>
  <si>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</si>
  <si>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</si>
  <si>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</si>
  <si>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</si>
  <si>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</si>
  <si>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</si>
  <si>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</si>
  <si>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</si>
  <si>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</si>
  <si>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</si>
  <si>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</si>
  <si>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</si>
  <si>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</si>
  <si>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</si>
  <si>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</si>
  <si>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</si>
  <si>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</si>
  <si>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</si>
  <si>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</si>
  <si>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</si>
  <si>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</si>
  <si>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</si>
  <si>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</si>
  <si>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</si>
  <si>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</si>
  <si>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</si>
  <si>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</si>
  <si>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</si>
  <si>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</si>
  <si>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</si>
  <si>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</si>
  <si>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</si>
  <si>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</si>
  <si>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</si>
  <si>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</si>
  <si>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</si>
  <si>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</si>
  <si>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</si>
  <si>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</si>
  <si>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</si>
  <si>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</si>
  <si>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</si>
  <si>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</si>
  <si>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</si>
  <si>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</si>
  <si>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</si>
  <si>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</si>
  <si>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</si>
  <si>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</si>
  <si>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</si>
  <si>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</si>
  <si>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</si>
  <si>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</si>
  <si>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</si>
  <si>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</si>
  <si>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</si>
  <si>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</si>
  <si>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</si>
  <si>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</si>
  <si>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</si>
  <si>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</si>
  <si>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</si>
  <si>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</si>
  <si>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</si>
  <si>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</si>
  <si>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</si>
  <si>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</si>
  <si>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</si>
  <si>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</si>
  <si>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</si>
  <si>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</si>
  <si>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</si>
  <si>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</si>
  <si>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</si>
  <si>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</si>
  <si>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</si>
  <si>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</si>
  <si>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</si>
  <si>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</si>
  <si>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</si>
  <si>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</si>
  <si>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</si>
  <si>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</si>
  <si>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</si>
  <si>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</si>
  <si>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</si>
  <si>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</si>
  <si>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</si>
  <si>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</si>
  <si>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</si>
  <si>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</si>
  <si>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</si>
  <si>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</si>
  <si>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</si>
  <si>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</si>
  <si>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</si>
  <si>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</si>
  <si>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</si>
  <si>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</si>
  <si>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</si>
  <si>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</si>
  <si>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</si>
  <si>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</si>
  <si>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</si>
  <si>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</si>
  <si>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</si>
  <si>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</si>
  <si>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</si>
  <si>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</si>
  <si>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</si>
  <si>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</si>
  <si>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</si>
  <si>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</si>
  <si>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</si>
  <si>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</si>
  <si>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</si>
  <si>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</si>
  <si>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</si>
  <si>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</si>
  <si>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</si>
  <si>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</si>
  <si>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</si>
  <si>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</si>
  <si>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</si>
  <si>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</si>
  <si>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</si>
  <si>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</si>
  <si>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</si>
  <si>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</si>
  <si>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</si>
  <si>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</si>
  <si>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</si>
  <si>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</si>
  <si>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</si>
  <si>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</si>
  <si>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</si>
  <si>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</si>
  <si>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</si>
  <si>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</si>
  <si>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</si>
  <si>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</si>
  <si>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</si>
  <si>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</si>
  <si>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</si>
  <si>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</si>
  <si>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</si>
  <si>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</si>
  <si>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</si>
  <si>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</si>
  <si>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</si>
  <si>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</si>
  <si>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</si>
  <si>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</si>
  <si>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</si>
  <si>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</si>
  <si>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</si>
  <si>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</si>
  <si>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</si>
  <si>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</si>
  <si>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</si>
  <si>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</si>
  <si>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</si>
  <si>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</si>
  <si>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</si>
  <si>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</si>
  <si>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</si>
  <si>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</si>
  <si>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</si>
  <si>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</si>
  <si>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</si>
  <si>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</si>
  <si>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</si>
  <si>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</si>
  <si>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</si>
  <si>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</si>
  <si>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</si>
  <si>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</si>
  <si>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</si>
  <si>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</si>
  <si>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</si>
  <si>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</si>
  <si>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</si>
  <si>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</si>
  <si>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</si>
  <si>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</si>
  <si>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</si>
  <si>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</si>
  <si>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</si>
  <si>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</si>
  <si>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</si>
  <si>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</si>
  <si>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</si>
  <si>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</si>
  <si>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</si>
  <si>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</si>
  <si>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</si>
  <si>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</si>
  <si>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</si>
  <si>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</si>
  <si>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</si>
  <si>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</si>
  <si>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</si>
  <si>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</si>
  <si>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</si>
  <si>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</si>
  <si>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</si>
  <si>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</si>
  <si>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</si>
  <si>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</si>
  <si>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</si>
  <si>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</si>
  <si>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</si>
  <si>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</si>
  <si>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</si>
  <si>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</si>
  <si>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</si>
  <si>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</si>
  <si>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</si>
  <si>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</si>
  <si>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</si>
  <si>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</si>
  <si>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</si>
  <si>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</si>
  <si>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</si>
  <si>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</si>
  <si>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</si>
  <si>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</si>
  <si>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</si>
  <si>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</si>
  <si>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</si>
  <si>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</si>
  <si>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</si>
  <si>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</si>
  <si>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</si>
  <si>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</si>
  <si>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</si>
  <si>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</si>
  <si>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</si>
  <si>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</si>
  <si>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</si>
  <si>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</si>
  <si>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</si>
  <si>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</si>
  <si>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</si>
  <si>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</si>
  <si>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</si>
  <si>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</si>
  <si>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</si>
  <si>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</si>
  <si>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</si>
  <si>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</si>
  <si>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</si>
  <si>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</si>
  <si>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</si>
  <si>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</si>
  <si>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</si>
  <si>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</si>
  <si>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</si>
  <si>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</si>
  <si>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</si>
  <si>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</si>
  <si>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</si>
  <si>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</si>
  <si>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</si>
  <si>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</si>
  <si>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</si>
  <si>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</si>
  <si>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</si>
  <si>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</si>
  <si>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</si>
  <si>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</si>
  <si>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</si>
  <si>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</si>
  <si>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</si>
  <si>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</si>
  <si>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</si>
  <si>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</si>
  <si>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</si>
  <si>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</si>
  <si>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</si>
  <si>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</si>
  <si>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</si>
  <si>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</si>
  <si>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</si>
  <si>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</si>
  <si>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</si>
  <si>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</si>
  <si>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</si>
  <si>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</si>
  <si>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</si>
  <si>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</si>
  <si>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</si>
  <si>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</si>
  <si>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</si>
  <si>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</si>
  <si>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</si>
  <si>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</si>
  <si>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</si>
  <si>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</si>
  <si>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</si>
  <si>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</si>
  <si>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</si>
  <si>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</si>
  <si>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</si>
  <si>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</si>
  <si>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</si>
  <si>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</si>
  <si>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</si>
  <si>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</si>
  <si>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</si>
  <si>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</si>
  <si>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</si>
  <si>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</si>
  <si>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</si>
  <si>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</si>
  <si>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</si>
  <si>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</si>
  <si>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</si>
  <si>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</si>
  <si>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</si>
  <si>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</si>
  <si>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</si>
  <si>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</si>
  <si>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</si>
  <si>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</si>
  <si>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</si>
  <si>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</si>
  <si>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</si>
  <si>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</si>
  <si>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</si>
  <si>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</si>
  <si>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</si>
  <si>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</si>
  <si>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</si>
  <si>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</si>
  <si>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</si>
  <si>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</si>
  <si>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</si>
  <si>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</si>
  <si>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</si>
  <si>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</si>
  <si>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</si>
  <si>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</si>
  <si>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</si>
  <si>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</si>
  <si>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</si>
  <si>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</si>
  <si>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</si>
  <si>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</si>
  <si>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</si>
  <si>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</si>
  <si>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</si>
  <si>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</si>
  <si>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</si>
  <si>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</si>
  <si>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</si>
  <si>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</si>
  <si>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</si>
  <si>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</si>
  <si>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</si>
  <si>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</si>
  <si>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</si>
  <si>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</si>
  <si>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</si>
  <si>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</si>
  <si>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</si>
  <si>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</si>
  <si>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</si>
  <si>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</si>
  <si>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</si>
  <si>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</si>
  <si>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</si>
  <si>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</si>
  <si>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</si>
  <si>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</si>
  <si>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</si>
  <si>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</si>
  <si>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</si>
  <si>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</si>
  <si>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</si>
  <si>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</si>
  <si>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</si>
  <si>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</si>
  <si>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</si>
  <si>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</si>
  <si>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</si>
  <si>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</si>
  <si>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</si>
  <si>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</si>
  <si>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</si>
  <si>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</si>
  <si>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</si>
  <si>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</si>
  <si>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</si>
  <si>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</si>
  <si>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</si>
  <si>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</si>
  <si>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</si>
  <si>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</si>
  <si>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</si>
  <si>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</si>
  <si>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</si>
  <si>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</si>
  <si>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</si>
  <si>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</si>
  <si>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</si>
  <si>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</si>
  <si>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</si>
  <si>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</si>
  <si>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</si>
  <si>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</si>
  <si>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</si>
  <si>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</si>
  <si>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</si>
  <si>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</si>
  <si>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</si>
  <si>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</si>
  <si>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</si>
  <si>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</si>
  <si>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</si>
  <si>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</si>
  <si>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</si>
  <si>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</si>
  <si>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</si>
  <si>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</si>
  <si>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</si>
  <si>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</si>
  <si>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</si>
  <si>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</si>
  <si>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</si>
  <si>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</si>
  <si>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</si>
  <si>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</si>
  <si>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</si>
  <si>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</si>
  <si>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</si>
  <si>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</si>
  <si>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</si>
  <si>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</si>
  <si>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</si>
  <si>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</si>
  <si>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</si>
  <si>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</si>
  <si>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</si>
  <si>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</si>
  <si>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</si>
  <si>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</si>
  <si>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</si>
  <si>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</si>
  <si>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</si>
  <si>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</si>
  <si>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</si>
  <si>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</si>
  <si>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</si>
  <si>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</si>
  <si>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</si>
  <si>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</si>
  <si>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</si>
  <si>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</si>
  <si>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</si>
  <si>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</si>
  <si>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</si>
  <si>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</si>
  <si>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</si>
  <si>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</si>
  <si>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</si>
  <si>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</si>
  <si>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</si>
  <si>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</si>
  <si>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</si>
  <si>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</si>
  <si>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</si>
  <si>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</si>
  <si>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</si>
  <si>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</si>
  <si>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</si>
  <si>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</si>
  <si>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</si>
  <si>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</si>
  <si>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</si>
  <si>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</si>
  <si>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</si>
  <si>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</si>
  <si>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</si>
  <si>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</si>
  <si>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</si>
  <si>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</si>
  <si>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</si>
  <si>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</si>
  <si>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</si>
  <si>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</si>
  <si>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</si>
  <si>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</si>
  <si>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</si>
  <si>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</si>
  <si>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</si>
  <si>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</si>
  <si>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</si>
  <si>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</si>
  <si>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</si>
  <si>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</si>
  <si>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</si>
  <si>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</si>
  <si>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</si>
  <si>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</si>
  <si>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</si>
  <si>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</si>
  <si>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</si>
  <si>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</si>
  <si>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</si>
  <si>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</si>
  <si>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</si>
  <si>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</si>
  <si>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</si>
  <si>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</si>
  <si>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</si>
  <si>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</si>
  <si>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</si>
  <si>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</si>
  <si>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</si>
  <si>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</si>
  <si>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</si>
  <si>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</si>
  <si>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</si>
  <si>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</si>
  <si>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</si>
  <si>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</si>
  <si>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</si>
  <si>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</si>
  <si>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</si>
  <si>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</si>
  <si>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</si>
  <si>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</si>
  <si>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</si>
  <si>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</si>
  <si>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</si>
  <si>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</si>
  <si>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</si>
  <si>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</si>
  <si>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</si>
  <si>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</si>
  <si>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</si>
  <si>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</si>
  <si>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</si>
  <si>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</si>
  <si>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</si>
  <si>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</si>
  <si>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</si>
  <si>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</si>
  <si>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</si>
  <si>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</si>
  <si>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</si>
  <si>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</si>
  <si>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</si>
  <si>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</si>
  <si>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</si>
  <si>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</si>
  <si>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</si>
  <si>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</si>
  <si>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</si>
  <si>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</si>
  <si>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</si>
  <si>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</si>
  <si>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</si>
  <si>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</si>
  <si>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</si>
  <si>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</si>
  <si>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</si>
  <si>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</si>
  <si>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</si>
  <si>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</si>
  <si>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</si>
  <si>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</si>
  <si>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</si>
  <si>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</si>
  <si>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</si>
  <si>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</si>
  <si>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</si>
  <si>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</si>
  <si>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</si>
  <si>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</si>
  <si>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</si>
  <si>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</si>
  <si>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</si>
  <si>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</si>
  <si>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</si>
  <si>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</si>
  <si>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</si>
  <si>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</si>
  <si>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</si>
  <si>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</si>
  <si>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</si>
  <si>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</si>
  <si>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</si>
  <si>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</si>
  <si>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</si>
  <si>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</si>
  <si>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</si>
  <si>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</si>
  <si>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</si>
  <si>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</si>
  <si>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</si>
  <si>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</si>
  <si>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</si>
  <si>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</si>
  <si>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</si>
  <si>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</si>
  <si>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</si>
  <si>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</si>
  <si>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</si>
  <si>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</si>
  <si>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</si>
  <si>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</si>
  <si>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</si>
  <si>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</si>
  <si>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</si>
  <si>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</si>
  <si>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</si>
  <si>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</si>
  <si>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</si>
  <si>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</si>
  <si>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</si>
  <si>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</si>
  <si>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</si>
  <si>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</si>
  <si>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</si>
  <si>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</si>
  <si>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</si>
  <si>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</si>
  <si>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</si>
  <si>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</si>
  <si>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</si>
  <si>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</si>
  <si>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</si>
  <si>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</si>
  <si>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</si>
  <si>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</si>
  <si>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</si>
  <si>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</si>
  <si>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</si>
  <si>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</si>
  <si>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</si>
  <si>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</si>
  <si>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</si>
  <si>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</si>
  <si>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</si>
  <si>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</si>
  <si>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</si>
  <si>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</si>
  <si>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</si>
  <si>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</si>
  <si>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</si>
  <si>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</si>
  <si>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</si>
  <si>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</si>
  <si>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</si>
  <si>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</si>
  <si>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</si>
  <si>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</si>
  <si>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</si>
  <si>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</si>
  <si>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</si>
  <si>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</si>
  <si>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</si>
  <si>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</si>
  <si>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</si>
  <si>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</si>
  <si>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</si>
  <si>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</si>
  <si>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</si>
  <si>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</si>
  <si>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</si>
  <si>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</si>
  <si>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</si>
  <si>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</si>
  <si>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</si>
  <si>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</si>
  <si>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</si>
  <si>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</si>
  <si>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</si>
  <si>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</si>
  <si>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</si>
  <si>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</si>
  <si>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</si>
  <si>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</si>
  <si>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</si>
  <si>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</si>
  <si>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</si>
  <si>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</si>
  <si>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</si>
  <si>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</si>
  <si>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</si>
  <si>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</si>
  <si>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</si>
  <si>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</si>
  <si>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</si>
  <si>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</si>
  <si>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</si>
  <si>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</si>
  <si>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</si>
  <si>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</si>
  <si>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</si>
  <si>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</si>
  <si>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</si>
  <si>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</si>
  <si>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</si>
  <si>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</si>
  <si>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</si>
  <si>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</si>
  <si>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</si>
  <si>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</si>
  <si>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</si>
  <si>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</si>
  <si>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</si>
  <si>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</si>
  <si>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</si>
  <si>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</si>
  <si>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</si>
  <si>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</si>
  <si>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</si>
  <si>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</si>
  <si>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</si>
  <si>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</si>
  <si>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</si>
  <si>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</si>
  <si>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</si>
  <si>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</si>
  <si>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</si>
  <si>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</si>
  <si>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</si>
  <si>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</si>
  <si>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</si>
  <si>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</si>
  <si>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</si>
  <si>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</si>
  <si>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</si>
  <si>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</si>
  <si>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</si>
  <si>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</si>
  <si>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</si>
  <si>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</si>
  <si>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</si>
  <si>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</si>
  <si>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</si>
  <si>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</si>
  <si>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</si>
  <si>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</si>
  <si>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</si>
  <si>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</si>
  <si>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</si>
  <si>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</si>
  <si>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</si>
  <si>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</si>
  <si>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</si>
  <si>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</si>
  <si>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</si>
  <si>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</si>
  <si>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</si>
  <si>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</si>
  <si>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</si>
  <si>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</si>
  <si>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</si>
  <si>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</si>
  <si>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</si>
  <si>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</si>
  <si>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</si>
  <si>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</si>
  <si>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</si>
  <si>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</si>
  <si>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</si>
  <si>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</si>
  <si>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</si>
  <si>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</si>
  <si>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</si>
  <si>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</si>
  <si>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</si>
  <si>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</si>
  <si>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</si>
  <si>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</si>
  <si>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</si>
  <si>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</si>
  <si>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</si>
  <si>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</si>
  <si>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</si>
  <si>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</si>
  <si>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</si>
  <si>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</si>
  <si>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</si>
  <si>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</si>
  <si>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</si>
  <si>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</si>
  <si>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</si>
  <si>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</si>
  <si>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</si>
  <si>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</si>
  <si>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</si>
  <si>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</si>
  <si>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</si>
  <si>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</si>
  <si>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</si>
  <si>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</si>
  <si>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</si>
  <si>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</si>
  <si>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</si>
  <si>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</si>
  <si>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</si>
  <si>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</si>
  <si>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</si>
  <si>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</si>
  <si>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</si>
  <si>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</si>
  <si>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</si>
  <si>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</si>
  <si>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</si>
  <si>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</si>
  <si>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</si>
  <si>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</si>
  <si>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</si>
  <si>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</si>
  <si>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</si>
  <si>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</si>
  <si>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</si>
  <si>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</si>
  <si>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</si>
  <si>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</si>
  <si>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</si>
  <si>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</si>
  <si>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</si>
  <si>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</si>
  <si>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</si>
  <si>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</si>
  <si>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</si>
  <si>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</si>
  <si>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</si>
  <si>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</si>
  <si>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</si>
  <si>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</si>
  <si>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</si>
  <si>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</si>
  <si>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</si>
  <si>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</si>
  <si>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</si>
  <si>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</si>
  <si>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</si>
  <si>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</si>
  <si>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</si>
  <si>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</si>
  <si>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</si>
  <si>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</si>
  <si>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</si>
  <si>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</si>
  <si>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</si>
  <si>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</si>
  <si>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</si>
  <si>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</si>
  <si>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</si>
  <si>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</si>
  <si>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</si>
  <si>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</si>
  <si>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</si>
  <si>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</si>
  <si>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</si>
  <si>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</si>
  <si>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</si>
  <si>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</si>
  <si>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</si>
  <si>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</si>
  <si>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</si>
  <si>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</si>
  <si>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</si>
  <si>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</si>
  <si>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</si>
  <si>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</si>
  <si>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</si>
  <si>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</si>
  <si>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</si>
  <si>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</si>
  <si>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</si>
  <si>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</si>
  <si>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</si>
  <si>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</si>
  <si>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</si>
  <si>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</si>
  <si>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</si>
  <si>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</si>
  <si>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</si>
  <si>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</si>
  <si>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</si>
  <si>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</si>
  <si>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</si>
  <si>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</si>
  <si>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</si>
  <si>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</si>
  <si>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</si>
  <si>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</si>
  <si>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</si>
  <si>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</si>
  <si>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</si>
  <si>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</si>
  <si>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</si>
  <si>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</si>
  <si>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</si>
  <si>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</si>
  <si>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</si>
  <si>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</si>
  <si>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</si>
  <si>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</si>
  <si>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</si>
  <si>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</si>
  <si>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</si>
  <si>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</si>
  <si>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</si>
  <si>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</si>
  <si>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</si>
  <si>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</si>
  <si>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</si>
  <si>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</si>
  <si>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</si>
  <si>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</si>
  <si>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</si>
  <si>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</si>
  <si>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</si>
  <si>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</si>
  <si>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</si>
  <si>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</si>
  <si>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</si>
  <si>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</si>
  <si>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</si>
  <si>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</si>
  <si>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</si>
  <si>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</si>
  <si>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</si>
  <si>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</si>
  <si>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</si>
  <si>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</si>
  <si>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</si>
  <si>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</si>
  <si>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</si>
  <si>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</si>
  <si>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</si>
  <si>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</si>
  <si>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</si>
  <si>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</si>
  <si>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</si>
  <si>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</si>
  <si>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</si>
  <si>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</si>
  <si>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</si>
  <si>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</si>
  <si>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</si>
  <si>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</si>
  <si>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</si>
  <si>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</si>
  <si>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</si>
  <si>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</si>
  <si>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</si>
  <si>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</si>
  <si>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</si>
  <si>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</si>
  <si>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</si>
  <si>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</si>
  <si>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</si>
  <si>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</si>
  <si>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</si>
  <si>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</si>
  <si>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</si>
  <si>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</si>
  <si>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</si>
  <si>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</si>
  <si>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</si>
  <si>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</si>
  <si>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</si>
  <si>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</si>
  <si>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</si>
  <si>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</si>
  <si>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</si>
  <si>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</si>
  <si>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</si>
  <si>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</si>
  <si>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</si>
  <si>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</si>
  <si>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</si>
  <si>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</si>
  <si>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</si>
  <si>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</si>
  <si>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</si>
  <si>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</si>
  <si>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</si>
  <si>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</si>
  <si>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</si>
  <si>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</si>
  <si>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</si>
  <si>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</si>
  <si>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</si>
  <si>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</si>
  <si>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</si>
  <si>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</si>
  <si>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</si>
  <si>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</si>
  <si>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</si>
  <si>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</si>
  <si>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</si>
  <si>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</si>
  <si>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</si>
  <si>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</si>
  <si>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</si>
  <si>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</si>
  <si>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</si>
  <si>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</si>
  <si>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</si>
  <si>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</si>
  <si>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</si>
  <si>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</si>
  <si>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</si>
  <si>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</si>
  <si>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</si>
  <si>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</si>
  <si>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</si>
  <si>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</si>
  <si>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</si>
  <si>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</si>
  <si>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</si>
  <si>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</si>
  <si>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</si>
  <si>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</si>
  <si>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</si>
  <si>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</si>
  <si>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</si>
  <si>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</si>
  <si>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</si>
  <si>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</si>
  <si>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</si>
  <si>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</si>
  <si>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</si>
  <si>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</si>
  <si>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</si>
  <si>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</si>
  <si>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</si>
  <si>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</si>
  <si>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</si>
  <si>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</si>
  <si>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</si>
  <si>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</si>
  <si>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</si>
  <si>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</si>
  <si>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</si>
  <si>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</si>
  <si>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</si>
  <si>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</si>
  <si>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</si>
  <si>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</si>
  <si>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</si>
  <si>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</si>
  <si>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</si>
  <si>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</si>
  <si>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</si>
  <si>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</si>
  <si>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</si>
  <si>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</si>
  <si>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</si>
  <si>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</si>
  <si>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</si>
  <si>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</si>
  <si>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</si>
  <si>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</si>
  <si>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</si>
  <si>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</si>
  <si>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</si>
  <si>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</si>
  <si>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</si>
  <si>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</si>
  <si>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</si>
  <si>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</si>
  <si>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</si>
  <si>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</si>
  <si>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</si>
  <si>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</si>
  <si>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</si>
  <si>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</si>
  <si>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</si>
  <si>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</si>
  <si>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</si>
  <si>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</si>
  <si>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</si>
  <si>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</si>
  <si>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</si>
  <si>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</si>
  <si>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</si>
  <si>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</si>
  <si>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</si>
  <si>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</si>
  <si>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</si>
  <si>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</si>
  <si>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</si>
  <si>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</si>
  <si>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</si>
  <si>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</si>
  <si>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</si>
  <si>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</si>
  <si>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</si>
  <si>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</si>
  <si>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</si>
  <si>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</si>
  <si>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</si>
  <si>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</si>
  <si>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</si>
  <si>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</si>
  <si>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</si>
  <si>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</si>
  <si>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</si>
  <si>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</si>
  <si>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</si>
  <si>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</si>
  <si>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</si>
  <si>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</si>
  <si>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</si>
  <si>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</si>
  <si>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</si>
  <si>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</si>
  <si>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</si>
  <si>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</si>
  <si>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</si>
  <si>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</si>
  <si>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</si>
  <si>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</si>
  <si>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</si>
  <si>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</si>
  <si>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</si>
  <si>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</si>
  <si>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</si>
  <si>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</si>
  <si>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</si>
  <si>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</si>
  <si>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</si>
  <si>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</si>
  <si>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</si>
  <si>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</si>
  <si>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</si>
  <si>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</si>
  <si>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</si>
  <si>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</si>
  <si>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</si>
  <si>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</si>
  <si>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</si>
  <si>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</si>
  <si>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</si>
  <si>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</si>
  <si>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</si>
  <si>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</si>
  <si>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</si>
  <si>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</si>
  <si>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</si>
  <si>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</si>
  <si>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</si>
  <si>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</si>
  <si>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</si>
  <si>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</si>
  <si>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</si>
  <si>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</si>
  <si>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</si>
  <si>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</si>
  <si>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</si>
  <si>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</si>
  <si>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</si>
  <si>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</si>
  <si>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</si>
  <si>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</si>
  <si>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</si>
  <si>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</si>
  <si>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</si>
  <si>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</si>
  <si>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</si>
  <si>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</si>
  <si>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</si>
  <si>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</si>
  <si>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</si>
  <si>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</si>
  <si>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</si>
  <si>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</si>
  <si>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</si>
  <si>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</si>
  <si>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</si>
  <si>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</si>
  <si>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</si>
  <si>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</si>
  <si>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</si>
  <si>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</si>
  <si>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</si>
  <si>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</si>
  <si>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</si>
  <si>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</si>
  <si>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</si>
  <si>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</si>
  <si>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</si>
  <si>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</si>
  <si>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</si>
  <si>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</si>
  <si>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</si>
  <si>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</si>
  <si>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</si>
  <si>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</si>
  <si>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</si>
  <si>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</si>
  <si>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</si>
  <si>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</si>
  <si>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</si>
  <si>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</si>
  <si>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</si>
  <si>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</si>
  <si>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</si>
  <si>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</si>
  <si>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</si>
  <si>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</si>
  <si>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</si>
  <si>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</si>
  <si>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</si>
  <si>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</si>
  <si>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</si>
  <si>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</si>
  <si>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</si>
  <si>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</si>
  <si>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</si>
  <si>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</si>
  <si>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</si>
  <si>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</si>
  <si>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</si>
  <si>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</si>
  <si>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</si>
  <si>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</si>
  <si>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</si>
  <si>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</si>
  <si>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</si>
  <si>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</si>
  <si>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</si>
  <si>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</si>
  <si>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</si>
  <si>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</si>
  <si>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</si>
  <si>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</si>
  <si>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</si>
  <si>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</si>
  <si>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</si>
  <si>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</si>
  <si>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</si>
  <si>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</si>
  <si>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</si>
  <si>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</si>
  <si>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</si>
  <si>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</si>
  <si>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</si>
  <si>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</si>
  <si>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</si>
  <si>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</si>
  <si>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</si>
  <si>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</si>
  <si>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</si>
  <si>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</si>
  <si>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</si>
  <si>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</si>
  <si>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</si>
  <si>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</si>
  <si>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</si>
  <si>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</si>
  <si>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</si>
  <si>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</si>
  <si>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</si>
  <si>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</si>
  <si>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</si>
  <si>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</si>
  <si>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</si>
  <si>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</si>
  <si>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</si>
  <si>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</si>
  <si>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</si>
  <si>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</si>
  <si>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</si>
  <si>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</si>
  <si>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</si>
  <si>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</si>
  <si>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</si>
  <si>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</si>
  <si>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</si>
  <si>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</si>
  <si>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</si>
  <si>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</si>
  <si>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</si>
  <si>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</si>
  <si>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</si>
  <si>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</si>
  <si>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</si>
  <si>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</si>
  <si>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</si>
  <si>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</si>
  <si>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</si>
  <si>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</si>
  <si>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</si>
  <si>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</si>
  <si>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</si>
  <si>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</si>
  <si>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</si>
  <si>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</si>
  <si>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</si>
  <si>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</si>
  <si>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</si>
  <si>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</si>
  <si>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</si>
  <si>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</si>
  <si>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</si>
  <si>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</si>
  <si>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</si>
  <si>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</si>
  <si>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</si>
  <si>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</si>
  <si>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</si>
  <si>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</si>
  <si>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</si>
  <si>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</si>
  <si>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</si>
  <si>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</si>
  <si>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</si>
  <si>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</si>
  <si>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</si>
  <si>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</si>
  <si>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</si>
  <si>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</si>
  <si>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</si>
  <si>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</si>
  <si>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</si>
  <si>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</si>
  <si>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</si>
  <si>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</si>
  <si>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</si>
  <si>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</si>
  <si>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</si>
  <si>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</si>
  <si>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</si>
  <si>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</si>
  <si>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</si>
  <si>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</si>
  <si>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</si>
  <si>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</si>
  <si>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</si>
  <si>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</si>
  <si>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</si>
  <si>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</si>
  <si>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</si>
  <si>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</si>
  <si>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</si>
  <si>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</si>
  <si>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</si>
  <si>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</si>
  <si>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</si>
  <si>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</si>
  <si>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</si>
  <si>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</si>
  <si>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</si>
  <si>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</si>
  <si>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</si>
  <si>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</si>
  <si>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</si>
  <si>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</si>
  <si>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</si>
  <si>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</si>
  <si>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</si>
  <si>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</si>
  <si>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</si>
  <si>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</si>
  <si>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</si>
  <si>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</si>
  <si>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</si>
  <si>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</si>
  <si>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</si>
  <si>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</si>
  <si>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</si>
  <si>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</si>
  <si>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</si>
  <si>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</si>
  <si>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</si>
  <si>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</si>
  <si>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</si>
  <si>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</si>
  <si>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</si>
  <si>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</si>
  <si>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</si>
  <si>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</si>
  <si>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</si>
  <si>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</si>
  <si>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</si>
  <si>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</si>
  <si>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</si>
  <si>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</si>
  <si>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</si>
  <si>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</si>
  <si>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</si>
  <si>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</si>
  <si>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</si>
  <si>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</si>
  <si>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</si>
  <si>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</si>
  <si>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</si>
  <si>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</si>
  <si>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</si>
  <si>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</si>
  <si>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</si>
  <si>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</si>
  <si>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</si>
  <si>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</si>
  <si>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</si>
  <si>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</si>
  <si>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</si>
  <si>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</si>
  <si>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</si>
  <si>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</si>
  <si>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</si>
  <si>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</si>
  <si>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</si>
  <si>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</si>
  <si>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</si>
  <si>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</si>
  <si>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</si>
  <si>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</si>
  <si>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</si>
  <si>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</si>
  <si>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</si>
  <si>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</si>
  <si>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</si>
  <si>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</si>
  <si>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</si>
  <si>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</si>
  <si>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</si>
  <si>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</si>
  <si>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</si>
  <si>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</si>
  <si>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</si>
  <si>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</si>
  <si>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</si>
  <si>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</si>
  <si>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</si>
  <si>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</si>
  <si>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</si>
  <si>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</si>
  <si>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</si>
  <si>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</si>
  <si>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</si>
  <si>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</si>
  <si>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</si>
  <si>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</si>
  <si>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</si>
  <si>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</si>
  <si>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</si>
  <si>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</si>
  <si>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</si>
  <si>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</si>
  <si>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</si>
  <si>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</si>
  <si>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</si>
  <si>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</si>
  <si>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</si>
  <si>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</si>
  <si>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</si>
  <si>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</si>
  <si>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</si>
  <si>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</si>
  <si>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</si>
  <si>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</si>
  <si>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</si>
  <si>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</si>
  <si>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</si>
  <si>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</si>
  <si>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</si>
  <si>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</si>
  <si>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</si>
  <si>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</si>
  <si>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</si>
  <si>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</si>
  <si>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</si>
  <si>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</si>
  <si>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</si>
  <si>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</si>
  <si>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</si>
  <si>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</si>
  <si>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</si>
  <si>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</si>
  <si>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</si>
  <si>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</si>
  <si>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</si>
  <si>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</si>
  <si>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</si>
  <si>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</si>
  <si>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</si>
  <si>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</si>
  <si>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</si>
  <si>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</si>
  <si>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</si>
  <si>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</si>
  <si>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</si>
  <si>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</si>
  <si>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</si>
  <si>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</si>
  <si>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</si>
  <si>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</si>
  <si>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</si>
  <si>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</si>
  <si>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</si>
  <si>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</si>
  <si>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</si>
  <si>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</si>
  <si>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</si>
  <si>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</si>
  <si>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</si>
  <si>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</si>
  <si>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</si>
  <si>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</si>
  <si>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</si>
  <si>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</si>
  <si>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</si>
  <si>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</si>
  <si>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</si>
  <si>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</si>
  <si>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</si>
  <si>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</si>
  <si>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</si>
  <si>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</si>
  <si>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</si>
  <si>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</si>
  <si>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</si>
  <si>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</si>
  <si>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</si>
  <si>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</si>
  <si>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</si>
  <si>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</si>
  <si>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</si>
  <si>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</si>
  <si>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</si>
  <si>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</si>
  <si>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</si>
  <si>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</si>
  <si>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</si>
  <si>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</si>
  <si>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</si>
  <si>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</si>
  <si>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</si>
  <si>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</si>
  <si>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</si>
  <si>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</si>
  <si>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</si>
  <si>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</si>
  <si>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</si>
  <si>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</si>
  <si>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</si>
  <si>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</si>
  <si>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</si>
  <si>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</si>
  <si>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</si>
  <si>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</si>
  <si>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</si>
  <si>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</si>
  <si>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</si>
  <si>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</si>
  <si>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</si>
  <si>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</si>
  <si>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</si>
  <si>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</si>
  <si>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</si>
  <si>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</si>
  <si>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</si>
  <si>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</si>
  <si>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</si>
  <si>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</si>
  <si>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</si>
  <si>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</si>
  <si>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</si>
  <si>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</si>
  <si>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</si>
  <si>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</si>
  <si>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</si>
  <si>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</si>
  <si>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</si>
  <si>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</si>
  <si>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</si>
  <si>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</si>
  <si>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</si>
  <si>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</si>
  <si>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</si>
  <si>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</si>
  <si>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</si>
  <si>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</si>
  <si>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</si>
  <si>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</si>
  <si>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</si>
  <si>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</si>
  <si>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</si>
  <si>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</si>
  <si>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</si>
  <si>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</si>
  <si>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</si>
  <si>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</si>
  <si>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</si>
  <si>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</si>
  <si>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</si>
  <si>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</si>
  <si>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</si>
  <si>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</si>
  <si>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</si>
  <si>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</si>
  <si>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</si>
  <si>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</si>
  <si>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</si>
  <si>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</si>
  <si>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</si>
  <si>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</si>
  <si>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</si>
  <si>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</si>
  <si>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</si>
  <si>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</si>
  <si>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</si>
  <si>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</si>
  <si>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</si>
  <si>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</si>
  <si>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</si>
  <si>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</si>
  <si>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</si>
  <si>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</si>
  <si>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</si>
  <si>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</si>
  <si>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</si>
  <si>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</si>
  <si>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</si>
  <si>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</si>
  <si>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</si>
  <si>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</si>
  <si>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</si>
  <si>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</si>
  <si>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</si>
  <si>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</si>
  <si>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</si>
  <si>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</si>
  <si>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</si>
  <si>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</si>
  <si>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</si>
  <si>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</si>
  <si>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</si>
  <si>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</si>
  <si>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</si>
  <si>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</si>
  <si>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</si>
  <si>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</si>
  <si>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</si>
  <si>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</si>
  <si>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</si>
  <si>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</si>
  <si>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</si>
  <si>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</si>
  <si>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</si>
  <si>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</si>
  <si>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</si>
  <si>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</si>
  <si>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</si>
  <si>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</si>
  <si>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</si>
  <si>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</si>
  <si>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</si>
  <si>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</si>
  <si>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</si>
  <si>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</si>
  <si>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</si>
  <si>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</si>
  <si>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</si>
  <si>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</si>
  <si>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</si>
  <si>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</si>
  <si>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</si>
  <si>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</si>
  <si>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</si>
  <si>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</si>
  <si>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</si>
  <si>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</si>
  <si>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</si>
  <si>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</si>
  <si>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</si>
  <si>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</si>
  <si>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</si>
  <si>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</si>
  <si>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</si>
  <si>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</si>
  <si>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</si>
  <si>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</si>
  <si>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</si>
  <si>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</si>
  <si>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</si>
  <si>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</si>
  <si>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</si>
  <si>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</si>
  <si>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</si>
  <si>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</si>
  <si>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</si>
  <si>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</si>
  <si>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</si>
  <si>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</si>
  <si>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</si>
  <si>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</si>
  <si>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</si>
  <si>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</si>
  <si>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</si>
  <si>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</si>
  <si>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</si>
  <si>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</si>
  <si>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</si>
  <si>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</si>
  <si>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</si>
  <si>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</si>
  <si>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</si>
  <si>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</si>
  <si>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</si>
  <si>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</si>
  <si>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</si>
  <si>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</si>
  <si>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</si>
  <si>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</si>
  <si>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</si>
  <si>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</si>
  <si>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</si>
  <si>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</si>
  <si>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</si>
  <si>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</si>
  <si>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</si>
  <si>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</si>
  <si>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</si>
  <si>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</si>
  <si>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</si>
  <si>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</si>
  <si>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</si>
  <si>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</si>
  <si>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</si>
  <si>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</si>
  <si>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</si>
  <si>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</si>
  <si>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</si>
  <si>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</si>
  <si>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</si>
  <si>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</si>
  <si>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</si>
  <si>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</si>
  <si>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</si>
  <si>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</si>
  <si>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</si>
  <si>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</si>
  <si>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</si>
  <si>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</si>
  <si>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</si>
  <si>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</si>
  <si>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</si>
  <si>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</si>
  <si>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</si>
  <si>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</si>
  <si>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</si>
  <si>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</si>
  <si>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</si>
  <si>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</si>
  <si>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</si>
  <si>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</si>
  <si>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</si>
  <si>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</si>
  <si>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</si>
  <si>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</si>
  <si>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</si>
  <si>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</si>
  <si>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</si>
  <si>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</si>
  <si>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</si>
  <si>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</si>
  <si>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</si>
  <si>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</si>
  <si>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</si>
  <si>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</si>
  <si>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</si>
  <si>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</si>
  <si>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</si>
  <si>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</si>
  <si>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</si>
  <si>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</si>
  <si>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</si>
  <si>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</si>
  <si>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</si>
  <si>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</si>
  <si>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</si>
  <si>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</si>
  <si>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</si>
  <si>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</si>
  <si>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</si>
  <si>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</si>
  <si>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</si>
  <si>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</si>
  <si>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</si>
  <si>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</si>
  <si>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</si>
  <si>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</si>
  <si>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</si>
  <si>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</si>
  <si>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</si>
  <si>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</si>
  <si>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</si>
  <si>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</si>
  <si>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</si>
  <si>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</si>
  <si>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</si>
  <si>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</si>
  <si>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</si>
  <si>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</si>
  <si>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</si>
  <si>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</si>
  <si>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</si>
  <si>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</si>
  <si>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</si>
  <si>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</si>
  <si>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</si>
  <si>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</si>
  <si>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</si>
  <si>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</si>
  <si>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</si>
  <si>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</si>
  <si>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</si>
  <si>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</si>
  <si>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</si>
  <si>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</si>
  <si>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</si>
  <si>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</si>
  <si>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</si>
  <si>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</si>
  <si>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</si>
  <si>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</si>
  <si>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</si>
  <si>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</si>
  <si>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</si>
  <si>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</si>
  <si>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</si>
  <si>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</si>
  <si>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</si>
  <si>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</si>
  <si>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</si>
  <si>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</si>
  <si>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</si>
  <si>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</si>
  <si>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</si>
  <si>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</si>
  <si>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</si>
  <si>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</si>
  <si>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</si>
  <si>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</si>
  <si>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</si>
  <si>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</si>
  <si>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</si>
  <si>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</si>
  <si>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</si>
  <si>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</si>
  <si>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</si>
  <si>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</si>
  <si>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</si>
  <si>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</si>
  <si>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</si>
  <si>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</si>
  <si>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</si>
  <si>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</si>
  <si>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</si>
  <si>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</si>
  <si>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</si>
  <si>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</si>
  <si>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</si>
  <si>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</si>
  <si>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</si>
  <si>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</si>
  <si>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</si>
  <si>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</si>
  <si>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</si>
  <si>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</si>
  <si>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</si>
  <si>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</si>
  <si>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</si>
  <si>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</si>
  <si>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</si>
  <si>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</si>
  <si>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</si>
  <si>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</si>
  <si>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</si>
  <si>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</si>
  <si>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</si>
  <si>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</si>
  <si>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</si>
  <si>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</si>
  <si>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</si>
  <si>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</si>
  <si>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</si>
  <si>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</si>
  <si>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</si>
  <si>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</si>
  <si>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</si>
  <si>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</si>
  <si>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</si>
  <si>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</si>
  <si>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</si>
  <si>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</si>
  <si>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</si>
  <si>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</si>
  <si>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</si>
  <si>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</si>
  <si>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</si>
  <si>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</si>
  <si>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</si>
  <si>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</si>
  <si>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</si>
  <si>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</si>
  <si>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</si>
  <si>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</si>
  <si>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</si>
  <si>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</si>
  <si>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</si>
  <si>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</si>
  <si>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</si>
  <si>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</si>
  <si>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</si>
  <si>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</si>
  <si>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</si>
  <si>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</si>
  <si>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</si>
  <si>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</si>
  <si>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</si>
  <si>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</si>
  <si>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</si>
  <si>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</si>
  <si>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</si>
  <si>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</si>
  <si>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</si>
  <si>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</si>
  <si>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</si>
  <si>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</si>
  <si>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</si>
  <si>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</si>
  <si>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</si>
  <si>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</si>
  <si>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</si>
  <si>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</si>
  <si>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</si>
  <si>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</si>
  <si>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</si>
  <si>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</si>
  <si>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</si>
  <si>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</si>
  <si>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</si>
  <si>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</si>
  <si>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</si>
  <si>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</si>
  <si>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</si>
  <si>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</si>
  <si>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</si>
  <si>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</si>
  <si>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</si>
  <si>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</si>
  <si>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</si>
  <si>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</si>
  <si>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</si>
  <si>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</si>
  <si>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</si>
  <si>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</si>
  <si>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</si>
  <si>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</si>
  <si>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</si>
  <si>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</si>
  <si>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</si>
  <si>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</si>
  <si>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</si>
  <si>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</si>
  <si>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</si>
  <si>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</si>
  <si>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</si>
  <si>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</si>
  <si>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</si>
  <si>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</si>
  <si>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</si>
  <si>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</si>
  <si>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</si>
  <si>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</si>
  <si>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</si>
  <si>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</si>
  <si>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</si>
  <si>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</si>
  <si>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</si>
  <si>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</si>
  <si>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</si>
  <si>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</si>
  <si>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</si>
  <si>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</si>
  <si>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</si>
  <si>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</si>
  <si>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</si>
  <si>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</si>
  <si>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</si>
  <si>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</si>
  <si>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</si>
  <si>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</si>
  <si>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</si>
  <si>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</si>
  <si>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</si>
  <si>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</si>
  <si>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</si>
  <si>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</si>
  <si>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</si>
  <si>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</si>
  <si>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</si>
  <si>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</si>
  <si>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</si>
  <si>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</si>
  <si>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</si>
  <si>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</si>
  <si>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</si>
  <si>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</si>
  <si>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</si>
  <si>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</si>
  <si>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</si>
  <si>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</si>
  <si>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</si>
  <si>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</si>
  <si>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</si>
  <si>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</si>
  <si>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</si>
  <si>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</si>
  <si>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</si>
  <si>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</si>
  <si>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</si>
  <si>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</si>
  <si>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</si>
  <si>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</si>
  <si>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</si>
  <si>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</si>
  <si>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</si>
  <si>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</si>
  <si>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</si>
  <si>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</si>
  <si>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</si>
  <si>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</si>
  <si>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</si>
  <si>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</si>
  <si>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</si>
  <si>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</si>
  <si>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</si>
  <si>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</si>
  <si>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</si>
  <si>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</si>
  <si>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</si>
  <si>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</si>
  <si>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</si>
  <si>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</si>
  <si>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</si>
  <si>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</si>
  <si>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</si>
  <si>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</si>
  <si>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</si>
  <si>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</si>
  <si>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</si>
  <si>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</si>
  <si>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</si>
  <si>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</si>
  <si>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</si>
  <si>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</si>
  <si>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</si>
  <si>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</si>
  <si>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</si>
  <si>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</si>
  <si>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</si>
  <si>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</si>
  <si>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</si>
  <si>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</si>
  <si>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</si>
  <si>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</si>
  <si>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</si>
  <si>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</si>
  <si>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</si>
  <si>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</si>
  <si>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</si>
  <si>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</si>
  <si>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</si>
  <si>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</si>
  <si>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</si>
  <si>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</si>
  <si>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</si>
  <si>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</si>
  <si>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</si>
  <si>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</si>
  <si>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</si>
  <si>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</si>
  <si>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</si>
  <si>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</si>
  <si>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</si>
  <si>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</si>
  <si>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</si>
  <si>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</si>
  <si>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</si>
  <si>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</si>
  <si>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</si>
  <si>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</si>
  <si>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</si>
  <si>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</si>
  <si>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</si>
  <si>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</si>
  <si>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</si>
  <si>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</si>
  <si>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</si>
  <si>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</si>
  <si>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</si>
  <si>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</si>
  <si>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</si>
  <si>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</si>
  <si>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</si>
  <si>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</si>
  <si>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</si>
  <si>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</si>
  <si>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</si>
  <si>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</si>
  <si>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</si>
  <si>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</si>
  <si>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</si>
  <si>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</si>
  <si>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</si>
  <si>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</si>
  <si>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</si>
  <si>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</si>
  <si>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</si>
  <si>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</si>
  <si>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</si>
  <si>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</si>
  <si>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</si>
  <si>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</si>
  <si>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</si>
  <si>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</si>
  <si>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</si>
  <si>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</si>
  <si>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</si>
  <si>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</si>
  <si>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</si>
  <si>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</si>
  <si>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</si>
  <si>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</si>
  <si>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</si>
  <si>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</si>
  <si>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</si>
  <si>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</si>
  <si>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</si>
  <si>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</si>
  <si>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</si>
  <si>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</si>
  <si>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</si>
  <si>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</si>
  <si>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</si>
  <si>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</si>
  <si>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</si>
  <si>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</si>
  <si>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</si>
  <si>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</si>
  <si>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</si>
  <si>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</si>
  <si>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</si>
  <si>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</si>
  <si>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</si>
  <si>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</si>
  <si>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</si>
  <si>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</si>
  <si>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</si>
  <si>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</si>
  <si>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</si>
  <si>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</si>
  <si>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</si>
  <si>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</si>
  <si>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</si>
  <si>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</si>
  <si>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</si>
  <si>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</si>
  <si>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</si>
  <si>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</si>
  <si>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</si>
  <si>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</si>
  <si>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</si>
  <si>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</si>
  <si>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</si>
  <si>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</si>
  <si>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</si>
  <si>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</si>
  <si>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</si>
  <si>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</si>
  <si>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</si>
  <si>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</si>
  <si>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</si>
  <si>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</si>
  <si>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</si>
  <si>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</si>
  <si>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</si>
  <si>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</si>
  <si>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</si>
  <si>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</si>
  <si>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</si>
  <si>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</si>
  <si>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</si>
  <si>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</si>
  <si>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</si>
  <si>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</si>
  <si>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</si>
  <si>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</si>
  <si>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</si>
  <si>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</si>
  <si>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</si>
  <si>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</si>
  <si>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</si>
  <si>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</si>
  <si>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</si>
  <si>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</si>
  <si>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</si>
  <si>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</si>
  <si>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</si>
  <si>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</si>
  <si>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</si>
  <si>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</si>
  <si>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</si>
  <si>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</si>
  <si>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</si>
  <si>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</si>
  <si>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</si>
  <si>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</si>
  <si>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</si>
  <si>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</si>
  <si>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</si>
  <si>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</si>
  <si>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</si>
  <si>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</si>
  <si>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</si>
  <si>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</si>
  <si>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</si>
  <si>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</si>
  <si>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</si>
  <si>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</si>
  <si>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</si>
  <si>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</si>
  <si>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</si>
  <si>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</si>
  <si>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</si>
  <si>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</si>
  <si>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</si>
  <si>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</si>
  <si>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</si>
  <si>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</si>
  <si>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</si>
  <si>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</si>
  <si>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</si>
  <si>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</si>
  <si>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</si>
  <si>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</si>
  <si>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</si>
  <si>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</si>
  <si>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</si>
  <si>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</si>
  <si>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</si>
  <si>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</si>
  <si>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</si>
  <si>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</si>
  <si>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</si>
  <si>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</si>
  <si>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</si>
  <si>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</si>
  <si>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</si>
  <si>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</si>
  <si>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</si>
  <si>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</si>
  <si>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</si>
  <si>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</si>
  <si>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</si>
  <si>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</si>
  <si>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</si>
  <si>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</si>
  <si>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</si>
  <si>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</si>
  <si>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</si>
  <si>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</si>
  <si>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</si>
  <si>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</si>
  <si>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</si>
  <si>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</si>
  <si>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</si>
  <si>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</si>
  <si>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</si>
  <si>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</si>
  <si>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</si>
  <si>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</si>
  <si>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</si>
  <si>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</si>
  <si>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</si>
  <si>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</si>
  <si>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</si>
  <si>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</si>
  <si>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</si>
  <si>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</si>
  <si>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</si>
  <si>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</si>
  <si>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</si>
  <si>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</si>
  <si>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</si>
  <si>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</si>
  <si>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</si>
  <si>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</si>
  <si>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</si>
  <si>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</si>
  <si>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</si>
  <si>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</si>
  <si>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</si>
  <si>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</si>
  <si>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</si>
  <si>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</si>
  <si>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</si>
  <si>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</si>
  <si>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</si>
  <si>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</si>
  <si>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</si>
  <si>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</si>
  <si>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</si>
  <si>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</si>
  <si>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</si>
  <si>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</si>
  <si>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</si>
  <si>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</si>
  <si>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</si>
  <si>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</si>
  <si>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</si>
  <si>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</si>
  <si>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</si>
  <si>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</si>
  <si>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</si>
  <si>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</si>
  <si>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</si>
  <si>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</si>
  <si>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</si>
  <si>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</si>
  <si>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</si>
  <si>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</si>
  <si>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</si>
  <si>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</si>
  <si>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</si>
  <si>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</si>
  <si>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</si>
  <si>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</si>
  <si>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</si>
  <si>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</si>
  <si>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</si>
  <si>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</si>
  <si>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</si>
  <si>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</si>
  <si>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</si>
  <si>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</si>
  <si>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</si>
  <si>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</si>
  <si>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</si>
  <si>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</si>
  <si>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</si>
  <si>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</si>
  <si>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</si>
  <si>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</si>
  <si>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</si>
  <si>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</si>
  <si>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</si>
  <si>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</si>
  <si>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</si>
  <si>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</si>
  <si>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</si>
  <si>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</si>
  <si>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</si>
  <si>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</si>
  <si>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</si>
  <si>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</si>
  <si>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</si>
  <si>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</si>
  <si>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</si>
  <si>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</si>
  <si>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</si>
  <si>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</si>
  <si>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</si>
  <si>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</si>
  <si>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</si>
  <si>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</si>
  <si>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</si>
  <si>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</si>
  <si>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</si>
  <si>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</si>
  <si>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</si>
  <si>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</si>
  <si>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</si>
  <si>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</si>
  <si>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</si>
  <si>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</si>
  <si>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</si>
  <si>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</si>
  <si>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</si>
  <si>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</si>
  <si>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</si>
  <si>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</si>
  <si>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</si>
  <si>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</si>
  <si>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</si>
  <si>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</si>
  <si>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</si>
  <si>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</si>
  <si>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</si>
  <si>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</si>
  <si>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</si>
  <si>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</si>
  <si>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</si>
  <si>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</si>
  <si>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</si>
  <si>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</si>
  <si>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</si>
  <si>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</si>
  <si>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</si>
  <si>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</si>
  <si>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</si>
  <si>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</si>
  <si>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</si>
  <si>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</si>
  <si>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</si>
  <si>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</si>
  <si>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</si>
  <si>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</si>
  <si>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</si>
  <si>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</si>
  <si>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</si>
  <si>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</si>
  <si>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</si>
  <si>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</si>
  <si>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</si>
  <si>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</si>
  <si>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</si>
  <si>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</si>
  <si>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</si>
  <si>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</si>
  <si>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</si>
  <si>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</si>
  <si>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</si>
  <si>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</si>
  <si>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</si>
  <si>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</si>
  <si>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</si>
  <si>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</si>
  <si>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</si>
  <si>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</si>
  <si>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</si>
  <si>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</si>
  <si>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</si>
  <si>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</si>
  <si>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</si>
  <si>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</si>
  <si>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</si>
  <si>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</si>
  <si>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</si>
  <si>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</si>
  <si>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</si>
  <si>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</si>
  <si>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</si>
  <si>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</si>
  <si>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</si>
  <si>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</si>
  <si>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</si>
  <si>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</si>
  <si>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</si>
  <si>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</si>
  <si>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</si>
  <si>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</si>
  <si>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</si>
  <si>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</si>
  <si>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</si>
  <si>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</si>
  <si>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</si>
  <si>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</si>
  <si>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</si>
  <si>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</si>
  <si>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</si>
  <si>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</si>
  <si>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</si>
  <si>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</si>
  <si>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</si>
  <si>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</si>
  <si>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</si>
  <si>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</si>
  <si>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</si>
  <si>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</si>
  <si>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</si>
  <si>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</si>
  <si>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</si>
  <si>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</si>
  <si>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</si>
  <si>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</si>
  <si>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</si>
  <si>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</si>
  <si>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</si>
  <si>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</si>
  <si>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</si>
  <si>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</si>
  <si>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</si>
  <si>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</si>
  <si>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</si>
  <si>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</si>
  <si>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</si>
  <si>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</si>
  <si>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</si>
  <si>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</si>
  <si>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</si>
  <si>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</si>
  <si>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</si>
  <si>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</si>
  <si>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</si>
  <si>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</si>
  <si>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</si>
  <si>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</si>
  <si>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</si>
  <si>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</si>
  <si>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</si>
  <si>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</si>
  <si>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</si>
  <si>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</si>
  <si>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</si>
  <si>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</si>
  <si>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</si>
  <si>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</si>
  <si>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</si>
  <si>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</si>
  <si>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</si>
  <si>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</si>
  <si>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</si>
  <si>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</si>
  <si>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</si>
  <si>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</si>
  <si>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</si>
  <si>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</si>
  <si>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</si>
  <si>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</si>
  <si>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</si>
  <si>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</si>
  <si>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</si>
  <si>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</si>
  <si>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</si>
  <si>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</si>
  <si>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</si>
  <si>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</si>
  <si>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</si>
  <si>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</si>
  <si>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</si>
  <si>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</si>
  <si>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</si>
  <si>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</si>
  <si>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</si>
  <si>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</si>
  <si>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</si>
  <si>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</si>
  <si>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</si>
  <si>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</si>
  <si>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</si>
  <si>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</si>
  <si>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</si>
  <si>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</si>
  <si>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</si>
  <si>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</si>
  <si>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</si>
  <si>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</si>
  <si>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</si>
  <si>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</si>
  <si>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</si>
  <si>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</si>
  <si>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</si>
  <si>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</si>
  <si>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</si>
  <si>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</si>
  <si>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</si>
  <si>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</si>
  <si>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</si>
  <si>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</si>
  <si>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</si>
  <si>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</si>
  <si>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</si>
  <si>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</si>
  <si>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</si>
  <si>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</si>
  <si>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</si>
  <si>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</si>
  <si>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</si>
  <si>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</si>
  <si>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</si>
  <si>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</si>
  <si>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</si>
  <si>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</si>
  <si>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</si>
  <si>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</si>
  <si>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</si>
  <si>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</si>
  <si>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</si>
  <si>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</si>
  <si>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</si>
  <si>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</si>
  <si>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</si>
  <si>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</si>
  <si>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</si>
  <si>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</si>
  <si>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</si>
  <si>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</si>
  <si>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</si>
  <si>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</si>
  <si>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</si>
  <si>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</si>
  <si>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</si>
  <si>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</si>
  <si>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</si>
  <si>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</si>
  <si>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</si>
  <si>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</si>
  <si>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</si>
  <si>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</si>
  <si>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</si>
  <si>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</si>
  <si>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</si>
  <si>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</si>
  <si>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</si>
  <si>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</si>
  <si>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</si>
  <si>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</si>
  <si>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</si>
  <si>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</si>
  <si>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</si>
  <si>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</si>
  <si>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</si>
  <si>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</si>
  <si>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</si>
  <si>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</si>
  <si>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</si>
  <si>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</si>
  <si>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</si>
  <si>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</si>
  <si>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</si>
  <si>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</si>
  <si>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</si>
  <si>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</si>
  <si>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</si>
  <si>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</si>
  <si>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</si>
  <si>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</si>
  <si>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</si>
  <si>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</si>
  <si>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</si>
  <si>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</si>
  <si>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</si>
  <si>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</si>
  <si>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</si>
  <si>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</si>
  <si>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</si>
  <si>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</si>
  <si>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</si>
  <si>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</si>
  <si>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</si>
  <si>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</si>
  <si>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</si>
  <si>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</si>
  <si>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</si>
  <si>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</si>
  <si>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</si>
  <si>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</si>
  <si>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</si>
  <si>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</si>
  <si>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</si>
  <si>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</si>
  <si>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</si>
  <si>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</si>
  <si>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</si>
  <si>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</si>
  <si>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</si>
  <si>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</si>
  <si>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</si>
  <si>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</si>
  <si>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</si>
  <si>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</si>
  <si>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</si>
  <si>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</si>
  <si>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</si>
  <si>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</si>
  <si>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</si>
  <si>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</si>
  <si>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</si>
  <si>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</si>
  <si>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</si>
  <si>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</si>
  <si>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</si>
  <si>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</si>
  <si>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</si>
  <si>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</si>
  <si>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</si>
  <si>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</si>
  <si>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</si>
  <si>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</si>
  <si>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</si>
  <si>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</si>
  <si>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</si>
  <si>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</si>
  <si>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</si>
  <si>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</si>
  <si>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</si>
  <si>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</si>
  <si>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</si>
  <si>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</si>
  <si>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</si>
  <si>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</si>
  <si>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</si>
  <si>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</si>
  <si>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</si>
  <si>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</si>
  <si>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</si>
  <si>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</si>
  <si>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</si>
  <si>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</si>
  <si>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</si>
  <si>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</si>
  <si>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</si>
  <si>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</si>
  <si>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</si>
  <si>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</si>
  <si>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</si>
  <si>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</si>
  <si>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</si>
  <si>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</si>
  <si>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</si>
  <si>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</si>
  <si>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</si>
  <si>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</si>
  <si>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</si>
  <si>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</si>
  <si>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</si>
  <si>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</si>
  <si>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</si>
  <si>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</si>
  <si>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</si>
  <si>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</si>
  <si>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</si>
  <si>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</si>
  <si>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</si>
  <si>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</si>
  <si>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</si>
  <si>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</si>
  <si>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</si>
  <si>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</si>
  <si>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</si>
  <si>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</si>
  <si>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</si>
  <si>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</si>
  <si>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</si>
  <si>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</si>
  <si>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</si>
  <si>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</si>
  <si>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</si>
  <si>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</si>
  <si>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</si>
  <si>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</si>
  <si>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</si>
  <si>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</si>
  <si>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</si>
  <si>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</si>
  <si>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</si>
  <si>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</si>
  <si>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</si>
  <si>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</si>
  <si>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</si>
  <si>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</si>
  <si>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</si>
  <si>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</si>
  <si>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</si>
  <si>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</si>
  <si>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</si>
  <si>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</si>
  <si>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</si>
  <si>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</si>
  <si>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</si>
  <si>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</si>
  <si>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</si>
  <si>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</si>
  <si>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</si>
  <si>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</si>
  <si>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</si>
  <si>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</si>
  <si>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</si>
  <si>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</si>
  <si>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</si>
  <si>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</si>
  <si>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</si>
  <si>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</si>
  <si>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</si>
  <si>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</si>
  <si>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</si>
  <si>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</si>
  <si>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</si>
  <si>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</si>
  <si>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</si>
  <si>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</si>
  <si>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</si>
  <si>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</si>
  <si>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</si>
  <si>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</si>
  <si>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</si>
  <si>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</si>
  <si>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</si>
  <si>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</si>
  <si>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</si>
  <si>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</si>
  <si>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</si>
  <si>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</si>
  <si>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</si>
  <si>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</si>
  <si>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</si>
  <si>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</si>
  <si>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</si>
  <si>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</si>
  <si>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</si>
  <si>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</si>
  <si>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</si>
  <si>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</si>
  <si>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</si>
  <si>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</si>
  <si>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</si>
  <si>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</si>
  <si>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</si>
  <si>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</si>
  <si>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</si>
  <si>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</si>
  <si>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</si>
  <si>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</si>
  <si>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</si>
  <si>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</si>
  <si>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</si>
  <si>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</si>
  <si>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</si>
  <si>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</si>
  <si>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</si>
  <si>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</si>
  <si>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</si>
  <si>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</si>
  <si>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</si>
  <si>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</si>
  <si>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</si>
  <si>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</si>
  <si>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</si>
  <si>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</si>
  <si>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</si>
  <si>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</si>
  <si>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</si>
  <si>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</si>
  <si>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</si>
  <si>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</si>
  <si>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</si>
  <si>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</si>
  <si>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</si>
  <si>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</si>
  <si>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</si>
  <si>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</si>
  <si>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</si>
  <si>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</si>
  <si>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</si>
  <si>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</si>
  <si>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</si>
  <si>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</si>
  <si>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</si>
  <si>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</si>
  <si>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</si>
  <si>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</si>
  <si>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</si>
  <si>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</si>
  <si>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</si>
  <si>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</si>
  <si>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</si>
  <si>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</si>
  <si>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</si>
  <si>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</si>
  <si>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</si>
  <si>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</si>
  <si>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</si>
  <si>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</si>
  <si>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</si>
  <si>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</si>
  <si>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</si>
  <si>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</si>
  <si>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</si>
  <si>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</si>
  <si>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</si>
  <si>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</si>
  <si>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</si>
  <si>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</si>
  <si>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</si>
  <si>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</si>
  <si>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</si>
  <si>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</si>
  <si>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</si>
  <si>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</si>
  <si>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</si>
  <si>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</si>
  <si>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</si>
  <si>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</si>
  <si>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</si>
  <si>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</si>
  <si>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</si>
  <si>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</si>
  <si>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</si>
  <si>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</si>
  <si>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</si>
  <si>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</si>
  <si>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</si>
  <si>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</si>
  <si>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</si>
  <si>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</si>
  <si>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</si>
  <si>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</si>
  <si>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</si>
  <si>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</si>
  <si>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</si>
  <si>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</si>
  <si>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</si>
  <si>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</si>
  <si>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</si>
  <si>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</si>
  <si>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</si>
  <si>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</si>
  <si>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</si>
  <si>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</si>
  <si>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</si>
  <si>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</si>
  <si>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</si>
  <si>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</si>
  <si>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</si>
  <si>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</si>
  <si>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</si>
  <si>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</si>
  <si>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</si>
  <si>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</si>
  <si>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</si>
  <si>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</si>
  <si>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</si>
  <si>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</si>
  <si>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</si>
  <si>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</si>
  <si>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</si>
  <si>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</si>
  <si>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</si>
  <si>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</si>
  <si>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</si>
  <si>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</si>
  <si>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</si>
  <si>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</si>
  <si>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</si>
  <si>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</si>
  <si>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</si>
  <si>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</si>
  <si>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</si>
  <si>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</si>
  <si>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</si>
  <si>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</si>
  <si>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</si>
  <si>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</si>
  <si>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</si>
  <si>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</si>
  <si>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</si>
  <si>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</si>
  <si>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</si>
  <si>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</si>
  <si>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</si>
  <si>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</si>
  <si>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</si>
  <si>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</si>
  <si>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</si>
  <si>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</si>
  <si>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</si>
  <si>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</si>
  <si>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</si>
  <si>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</si>
  <si>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</si>
  <si>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</si>
  <si>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</si>
  <si>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</si>
  <si>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</si>
  <si>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</si>
  <si>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</si>
  <si>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</si>
  <si>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</si>
  <si>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</si>
  <si>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</si>
  <si>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</si>
  <si>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</si>
  <si>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</si>
  <si>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</si>
  <si>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</si>
  <si>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</si>
  <si>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</si>
  <si>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</si>
  <si>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</si>
  <si>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</si>
  <si>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</si>
  <si>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</si>
  <si>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</si>
  <si>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</si>
  <si>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</si>
  <si>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</si>
  <si>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</si>
  <si>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</si>
  <si>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</si>
  <si>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</si>
  <si>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</si>
  <si>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</si>
  <si>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</si>
  <si>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</si>
  <si>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</si>
  <si>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</si>
  <si>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</si>
  <si>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</si>
  <si>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</si>
  <si>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</si>
  <si>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</si>
  <si>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</si>
  <si>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</si>
  <si>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</si>
  <si>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</si>
  <si>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</si>
  <si>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</si>
  <si>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</si>
  <si>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</si>
  <si>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</si>
  <si>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</si>
  <si>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</si>
  <si>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</si>
  <si>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</si>
  <si>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</si>
  <si>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</si>
  <si>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</si>
  <si>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</si>
  <si>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</si>
  <si>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</si>
  <si>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</si>
  <si>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</si>
  <si>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</si>
  <si>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</si>
  <si>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</si>
  <si>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</si>
  <si>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</si>
  <si>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</si>
  <si>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</si>
  <si>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</si>
  <si>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</si>
  <si>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</si>
  <si>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</si>
  <si>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</si>
  <si>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</si>
  <si>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</si>
  <si>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</si>
  <si>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</si>
  <si>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</si>
  <si>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</si>
  <si>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</si>
  <si>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</si>
  <si>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</si>
  <si>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</si>
  <si>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</si>
  <si>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</si>
  <si>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</si>
  <si>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</si>
  <si>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</si>
  <si>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</si>
  <si>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</si>
  <si>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</si>
  <si>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</si>
  <si>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</si>
  <si>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</si>
  <si>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</si>
  <si>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</si>
  <si>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</si>
  <si>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</si>
  <si>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</si>
  <si>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</si>
  <si>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</si>
  <si>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</si>
  <si>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</si>
  <si>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</si>
  <si>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</si>
  <si>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</si>
  <si>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</si>
  <si>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</si>
  <si>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</si>
  <si>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</si>
  <si>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</si>
  <si>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</si>
  <si>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</si>
  <si>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</si>
  <si>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</si>
  <si>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</si>
  <si>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</si>
  <si>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</si>
  <si>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</si>
  <si>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</si>
  <si>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</si>
  <si>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</si>
  <si>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</si>
  <si>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</si>
  <si>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</si>
  <si>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</si>
  <si>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</si>
  <si>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</si>
  <si>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</si>
  <si>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</si>
  <si>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</si>
  <si>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</si>
  <si>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</si>
  <si>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</si>
  <si>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</si>
  <si>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</si>
  <si>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</si>
  <si>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</si>
  <si>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</si>
  <si>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</si>
  <si>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</si>
  <si>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</si>
  <si>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</si>
  <si>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</si>
  <si>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</si>
  <si>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</si>
  <si>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</si>
  <si>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</si>
  <si>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</si>
  <si>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</si>
  <si>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</si>
  <si>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</si>
  <si>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</si>
  <si>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</si>
  <si>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</si>
  <si>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</si>
  <si>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</si>
  <si>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</si>
  <si>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</si>
  <si>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</si>
  <si>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</si>
  <si>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</si>
  <si>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</si>
  <si>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</si>
  <si>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</si>
  <si>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</si>
  <si>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</si>
  <si>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</si>
  <si>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</si>
  <si>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</si>
  <si>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</si>
  <si>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</si>
  <si>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</si>
  <si>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</si>
  <si>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</si>
  <si>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</si>
  <si>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</si>
  <si>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</si>
  <si>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</si>
  <si>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</si>
  <si>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</si>
  <si>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</si>
  <si>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</si>
  <si>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</si>
  <si>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</si>
  <si>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</si>
  <si>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</si>
  <si>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</si>
  <si>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</si>
  <si>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</si>
  <si>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</si>
  <si>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</si>
  <si>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</si>
  <si>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</si>
  <si>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</si>
  <si>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</si>
  <si>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</si>
  <si>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</si>
  <si>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</si>
  <si>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</si>
  <si>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</si>
  <si>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</si>
  <si>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</si>
  <si>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</si>
  <si>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</si>
  <si>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</si>
  <si>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</si>
  <si>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</si>
  <si>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</si>
  <si>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</si>
  <si>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</si>
  <si>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</si>
  <si>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</si>
  <si>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</si>
  <si>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</si>
  <si>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</si>
  <si>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</si>
  <si>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</si>
  <si>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</si>
  <si>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</si>
  <si>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</si>
  <si>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</si>
  <si>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</si>
  <si>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</si>
  <si>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</si>
  <si>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</si>
  <si>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</si>
  <si>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</si>
  <si>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</si>
  <si>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</si>
  <si>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</si>
  <si>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</si>
  <si>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</si>
  <si>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</si>
  <si>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</si>
  <si>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</si>
  <si>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</si>
  <si>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</si>
  <si>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</si>
  <si>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</si>
  <si>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</si>
  <si>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</si>
  <si>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</si>
  <si>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</si>
  <si>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</si>
  <si>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</si>
  <si>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</si>
  <si>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</si>
  <si>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</si>
  <si>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</si>
  <si>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</si>
  <si>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</si>
  <si>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</si>
  <si>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</si>
  <si>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</si>
  <si>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</si>
  <si>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</si>
  <si>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</si>
  <si>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</si>
  <si>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</si>
  <si>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</si>
  <si>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</si>
  <si>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</si>
  <si>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</si>
  <si>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</si>
  <si>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</si>
  <si>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</si>
  <si>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</si>
  <si>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</si>
  <si>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</si>
  <si>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</si>
  <si>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</si>
  <si>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</si>
  <si>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</si>
  <si>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</si>
  <si>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</si>
  <si>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</si>
  <si>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</si>
  <si>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</si>
  <si>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</si>
  <si>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</si>
  <si>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</si>
  <si>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</si>
  <si>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</si>
  <si>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</si>
  <si>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</si>
  <si>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</si>
  <si>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</si>
  <si>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</si>
  <si>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</si>
  <si>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</si>
  <si>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</si>
  <si>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</si>
  <si>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</si>
  <si>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</si>
  <si>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</si>
  <si>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</si>
  <si>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</si>
  <si>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</si>
  <si>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</si>
  <si>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</si>
  <si>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</si>
  <si>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</si>
  <si>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</si>
  <si>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</si>
  <si>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</si>
  <si>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</si>
  <si>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</si>
  <si>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</si>
  <si>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</si>
  <si>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</si>
  <si>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</si>
  <si>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</si>
  <si>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</si>
  <si>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</si>
  <si>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</si>
  <si>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</si>
  <si>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</si>
  <si>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</si>
  <si>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</si>
  <si>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</si>
  <si>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</si>
  <si>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</si>
  <si>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</si>
  <si>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</si>
  <si>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</si>
  <si>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</si>
  <si>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</si>
  <si>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</si>
  <si>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</si>
  <si>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</si>
  <si>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</si>
  <si>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</si>
  <si>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</si>
  <si>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</si>
  <si>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</si>
  <si>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</si>
  <si>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</si>
  <si>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</si>
  <si>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</si>
  <si>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</si>
  <si>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</si>
  <si>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</si>
  <si>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</si>
  <si>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</si>
  <si>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</si>
  <si>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</si>
  <si>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</si>
  <si>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</si>
  <si>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</si>
  <si>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</si>
  <si>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</si>
  <si>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</si>
  <si>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</si>
  <si>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</si>
  <si>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</si>
  <si>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</si>
  <si>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</si>
  <si>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</si>
  <si>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</si>
  <si>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</si>
  <si>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</si>
  <si>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</si>
  <si>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</si>
  <si>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</si>
  <si>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</si>
  <si>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</si>
  <si>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</si>
  <si>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</si>
  <si>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</si>
  <si>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</si>
  <si>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</si>
  <si>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</si>
  <si>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</si>
  <si>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</si>
  <si>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</si>
  <si>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</si>
  <si>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</si>
  <si>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</si>
  <si>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</si>
  <si>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</si>
  <si>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</si>
  <si>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</si>
  <si>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</si>
  <si>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</si>
  <si>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</si>
  <si>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</si>
  <si>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</si>
  <si>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</si>
  <si>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</si>
  <si>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</si>
  <si>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</si>
  <si>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</si>
  <si>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</si>
  <si>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</si>
  <si>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</si>
  <si>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</si>
  <si>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</si>
  <si>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</si>
  <si>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</si>
  <si>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</si>
  <si>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</si>
  <si>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</si>
  <si>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</si>
  <si>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</si>
  <si>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</si>
  <si>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</si>
  <si>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</si>
  <si>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</si>
  <si>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</si>
  <si>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</si>
  <si>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</si>
  <si>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</si>
  <si>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</si>
  <si>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</si>
  <si>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</si>
  <si>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</si>
  <si>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</si>
  <si>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</si>
  <si>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</si>
  <si>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</si>
  <si>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</si>
  <si>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</si>
  <si>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</si>
  <si>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</si>
  <si>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</si>
  <si>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</si>
  <si>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</si>
  <si>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</si>
  <si>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</si>
  <si>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</si>
  <si>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</si>
  <si>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</si>
  <si>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</si>
  <si>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</si>
  <si>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</si>
  <si>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</si>
  <si>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</si>
  <si>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</si>
  <si>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</si>
  <si>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</si>
  <si>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</si>
  <si>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</si>
  <si>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</si>
  <si>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</si>
  <si>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</si>
  <si>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</si>
  <si>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</si>
  <si>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</si>
  <si>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</si>
  <si>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</si>
  <si>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</si>
  <si>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</si>
  <si>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</si>
  <si>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</si>
  <si>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</si>
  <si>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</si>
  <si>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</si>
  <si>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</si>
  <si>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</si>
  <si>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</si>
  <si>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</si>
  <si>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</si>
  <si>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</si>
  <si>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</si>
  <si>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</si>
  <si>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</si>
  <si>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</si>
  <si>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</si>
  <si>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</si>
  <si>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</si>
  <si>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</si>
  <si>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</si>
  <si>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</si>
  <si>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</si>
  <si>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</si>
  <si>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</si>
  <si>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</si>
  <si>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</si>
  <si>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</si>
  <si>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</si>
  <si>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</si>
  <si>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</si>
  <si>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</si>
  <si>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</si>
  <si>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</si>
  <si>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</si>
  <si>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</si>
  <si>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</si>
  <si>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</si>
  <si>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</si>
  <si>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</si>
  <si>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</si>
  <si>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</si>
  <si>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</si>
  <si>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</si>
  <si>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</si>
  <si>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</si>
  <si>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</si>
  <si>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</si>
  <si>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</si>
  <si>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</si>
  <si>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</si>
  <si>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</si>
  <si>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</si>
  <si>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</si>
  <si>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</si>
  <si>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</si>
  <si>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</si>
  <si>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</si>
  <si>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</si>
  <si>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</si>
  <si>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</si>
  <si>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</si>
  <si>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</si>
  <si>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</si>
  <si>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</si>
  <si>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</si>
  <si>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</si>
  <si>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</si>
  <si>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</si>
  <si>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</si>
  <si>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</si>
  <si>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</si>
  <si>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</si>
  <si>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</si>
  <si>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</si>
  <si>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</si>
  <si>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</si>
  <si>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</si>
  <si>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</si>
  <si>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</si>
  <si>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</si>
  <si>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</si>
  <si>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</si>
  <si>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</si>
  <si>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</si>
  <si>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</si>
  <si>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</si>
  <si>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</si>
  <si>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</si>
  <si>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</si>
  <si>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</si>
  <si>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</si>
  <si>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</si>
  <si>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</si>
  <si>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</si>
  <si>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</si>
  <si>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</si>
  <si>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</si>
  <si>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</si>
  <si>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</si>
  <si>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</si>
  <si>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</si>
  <si>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</si>
  <si>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</si>
  <si>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</si>
  <si>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</si>
  <si>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</si>
  <si>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</si>
  <si>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</si>
  <si>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</si>
  <si>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</si>
  <si>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</si>
  <si>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</si>
  <si>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</si>
  <si>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</si>
  <si>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</si>
  <si>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</si>
  <si>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</si>
  <si>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</si>
  <si>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</si>
  <si>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</si>
  <si>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</si>
  <si>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</si>
  <si>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</si>
  <si>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</si>
  <si>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</si>
  <si>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</si>
  <si>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</si>
  <si>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</si>
  <si>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</si>
  <si>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</si>
  <si>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</si>
  <si>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</si>
  <si>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</si>
  <si>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</si>
  <si>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</si>
  <si>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</si>
  <si>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</si>
  <si>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</si>
  <si>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</si>
  <si>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</si>
  <si>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</si>
  <si>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</si>
  <si>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</si>
  <si>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</si>
  <si>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</si>
  <si>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</si>
  <si>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</si>
  <si>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</si>
  <si>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</si>
  <si>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</si>
  <si>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</si>
  <si>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</si>
  <si>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</si>
  <si>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</si>
  <si>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</si>
  <si>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</si>
  <si>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</si>
  <si>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</si>
  <si>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</si>
  <si>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</si>
  <si>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</si>
  <si>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</si>
  <si>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</si>
  <si>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</si>
  <si>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</si>
  <si>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</si>
  <si>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</si>
  <si>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</si>
  <si>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</si>
  <si>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</si>
  <si>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</si>
  <si>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</si>
  <si>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</si>
  <si>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</si>
  <si>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</si>
  <si>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</si>
  <si>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</si>
  <si>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</si>
  <si>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</si>
  <si>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</si>
  <si>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</si>
  <si>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</si>
  <si>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</si>
  <si>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</si>
  <si>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</si>
  <si>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</si>
  <si>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</si>
  <si>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</si>
  <si>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</si>
  <si>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</si>
  <si>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</si>
  <si>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</si>
  <si>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</si>
  <si>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</si>
  <si>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</si>
  <si>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</si>
  <si>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</si>
  <si>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</si>
  <si>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</si>
  <si>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</si>
  <si>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</si>
  <si>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</si>
  <si>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</si>
  <si>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</si>
  <si>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</si>
  <si>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</si>
  <si>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</si>
  <si>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</si>
  <si>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</si>
  <si>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</si>
  <si>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</si>
  <si>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</si>
  <si>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</si>
  <si>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</si>
  <si>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</si>
  <si>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</si>
  <si>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</si>
  <si>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</si>
  <si>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</si>
  <si>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</si>
  <si>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</si>
  <si>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</si>
  <si>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</si>
  <si>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</si>
  <si>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</si>
  <si>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</si>
  <si>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</si>
  <si>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</si>
  <si>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</si>
  <si>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</si>
  <si>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</si>
  <si>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</si>
  <si>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</si>
  <si>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</si>
  <si>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</si>
  <si>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</si>
  <si>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</si>
  <si>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</si>
  <si>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</si>
  <si>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</si>
  <si>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</si>
  <si>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</si>
  <si>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</si>
  <si>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</si>
  <si>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</si>
  <si>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</si>
  <si>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</si>
  <si>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</si>
  <si>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</si>
  <si>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</si>
  <si>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</si>
  <si>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</si>
  <si>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</si>
  <si>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</si>
  <si>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</si>
  <si>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</si>
  <si>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</si>
  <si>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</si>
  <si>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</si>
  <si>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</si>
  <si>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</si>
  <si>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</si>
  <si>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</si>
  <si>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</si>
  <si>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</si>
  <si>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</si>
  <si>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</si>
  <si>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</si>
  <si>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</si>
  <si>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</si>
  <si>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</si>
  <si>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</si>
  <si>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</si>
  <si>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</si>
  <si>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</si>
  <si>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</si>
  <si>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</si>
  <si>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</si>
  <si>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</si>
  <si>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</si>
  <si>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</si>
  <si>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</si>
  <si>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</si>
  <si>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</si>
  <si>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</si>
  <si>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</si>
  <si>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</si>
  <si>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</si>
  <si>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</si>
  <si>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</si>
  <si>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</si>
  <si>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</si>
  <si>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</si>
  <si>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</si>
  <si>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</si>
  <si>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</si>
  <si>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</si>
  <si>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</si>
  <si>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</si>
  <si>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</si>
  <si>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</si>
  <si>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</si>
  <si>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</si>
  <si>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</si>
  <si>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</si>
  <si>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</si>
  <si>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</si>
  <si>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</si>
  <si>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</si>
  <si>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</si>
  <si>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</si>
  <si>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</si>
  <si>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</si>
  <si>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</si>
  <si>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</si>
  <si>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</si>
  <si>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</si>
  <si>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</si>
  <si>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</si>
  <si>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</si>
  <si>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</si>
  <si>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</si>
  <si>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</si>
  <si>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</si>
  <si>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</si>
  <si>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</si>
  <si>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</si>
  <si>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</si>
  <si>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</si>
  <si>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</si>
  <si>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</si>
  <si>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</si>
  <si>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</si>
  <si>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</si>
  <si>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</si>
  <si>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</si>
  <si>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</si>
  <si>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</si>
  <si>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</si>
  <si>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</si>
  <si>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</si>
  <si>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</si>
  <si>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</si>
  <si>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</si>
  <si>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</si>
  <si>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</si>
  <si>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</si>
  <si>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</si>
  <si>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</si>
  <si>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</si>
  <si>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</si>
  <si>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</si>
  <si>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</si>
  <si>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</si>
  <si>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</si>
  <si>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</si>
  <si>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</si>
  <si>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</si>
  <si>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</si>
  <si>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</si>
  <si>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</si>
  <si>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</si>
  <si>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</si>
  <si>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</si>
  <si>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</si>
  <si>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</si>
  <si>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</si>
  <si>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</si>
  <si>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</si>
  <si>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</si>
  <si>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</si>
  <si>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</si>
  <si>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</si>
  <si>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</si>
  <si>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</si>
  <si>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</si>
  <si>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</si>
  <si>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</si>
  <si>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</si>
  <si>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</si>
  <si>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</si>
  <si>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</si>
  <si>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</si>
  <si>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</si>
  <si>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</si>
  <si>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</si>
  <si>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</si>
  <si>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</si>
  <si>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</si>
  <si>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</si>
  <si>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</si>
  <si>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</si>
  <si>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</si>
  <si>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</si>
  <si>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</si>
  <si>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</si>
  <si>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</si>
  <si>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</si>
  <si>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</si>
  <si>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</si>
  <si>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</si>
  <si>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</si>
  <si>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</si>
  <si>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</si>
  <si>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</si>
  <si>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</si>
  <si>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</si>
  <si>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</si>
  <si>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</si>
  <si>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</si>
  <si>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</si>
  <si>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</si>
  <si>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</si>
  <si>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</si>
  <si>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</si>
  <si>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</si>
  <si>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</si>
  <si>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</si>
  <si>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</si>
  <si>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</si>
  <si>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</si>
  <si>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</si>
  <si>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</si>
  <si>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</si>
  <si>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</si>
  <si>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</si>
  <si>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</si>
  <si>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</si>
  <si>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</si>
  <si>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</si>
  <si>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</si>
  <si>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</si>
  <si>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</si>
  <si>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</si>
  <si>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</si>
  <si>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</si>
  <si>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</si>
  <si>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</si>
  <si>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</si>
  <si>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</si>
  <si>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</si>
  <si>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</si>
  <si>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</si>
  <si>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</si>
  <si>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</si>
  <si>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</si>
  <si>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</si>
  <si>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</si>
  <si>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</si>
  <si>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</si>
  <si>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</si>
  <si>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</si>
  <si>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</si>
  <si>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</si>
  <si>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</si>
  <si>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</si>
  <si>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</si>
  <si>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</si>
  <si>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</si>
  <si>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</si>
  <si>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</si>
  <si>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</si>
  <si>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</si>
  <si>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</si>
  <si>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</si>
  <si>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</si>
  <si>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</si>
  <si>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</si>
  <si>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</si>
  <si>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</si>
  <si>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</si>
  <si>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</si>
  <si>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</si>
  <si>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</si>
  <si>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</si>
  <si>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</si>
  <si>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</si>
  <si>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</si>
  <si>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</si>
  <si>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</si>
  <si>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</si>
  <si>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</si>
  <si>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</si>
  <si>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</si>
  <si>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</si>
  <si>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</si>
  <si>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</si>
  <si>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</si>
  <si>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</si>
  <si>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</si>
  <si>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</si>
  <si>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</si>
  <si>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</si>
  <si>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</si>
  <si>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</si>
  <si>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</si>
  <si>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</si>
  <si>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</si>
  <si>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</si>
  <si>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</si>
  <si>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</si>
  <si>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</si>
  <si>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</si>
  <si>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</si>
  <si>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</si>
  <si>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</si>
  <si>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</si>
  <si>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</si>
  <si>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</si>
  <si>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</si>
  <si>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</si>
  <si>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</si>
  <si>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</si>
  <si>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</si>
  <si>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</si>
  <si>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</si>
  <si>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</si>
  <si>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</si>
  <si>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</si>
  <si>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</si>
  <si>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</si>
  <si>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</si>
  <si>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</si>
  <si>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</si>
  <si>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</si>
  <si>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</si>
  <si>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</si>
  <si>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</si>
  <si>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</si>
  <si>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</si>
  <si>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</si>
  <si>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</si>
  <si>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</si>
  <si>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</si>
  <si>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</si>
  <si>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</si>
  <si>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</si>
  <si>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</si>
  <si>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</si>
  <si>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</si>
  <si>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</si>
  <si>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</si>
  <si>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</si>
  <si>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</si>
  <si>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</si>
  <si>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</si>
  <si>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</si>
  <si>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</si>
  <si>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</si>
  <si>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</si>
  <si>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</si>
  <si>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</si>
  <si>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</si>
  <si>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</si>
  <si>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</si>
  <si>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</si>
  <si>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</si>
  <si>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</si>
  <si>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</si>
  <si>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</si>
  <si>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</si>
  <si>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</si>
  <si>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</si>
  <si>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</si>
  <si>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</si>
  <si>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</si>
  <si>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</si>
  <si>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</si>
  <si>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</si>
  <si>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</si>
  <si>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</si>
  <si>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</si>
  <si>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</si>
  <si>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</si>
  <si>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</si>
  <si>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</si>
  <si>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</si>
  <si>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</si>
  <si>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</si>
  <si>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</si>
  <si>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</si>
  <si>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</si>
  <si>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</si>
  <si>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</si>
  <si>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</si>
  <si>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</si>
  <si>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</si>
  <si>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</si>
  <si>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</si>
  <si>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</si>
  <si>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</si>
  <si>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</si>
  <si>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</si>
  <si>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</si>
  <si>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</si>
  <si>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</si>
  <si>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</si>
  <si>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</si>
  <si>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</si>
  <si>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</si>
  <si>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</si>
  <si>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</si>
  <si>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</si>
  <si>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</si>
  <si>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</si>
  <si>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</si>
  <si>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</si>
  <si>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</si>
  <si>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</si>
  <si>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</si>
  <si>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</si>
  <si>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</si>
  <si>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</si>
  <si>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</si>
  <si>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</si>
  <si>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</si>
  <si>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</si>
  <si>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</si>
  <si>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</si>
  <si>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</si>
  <si>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</si>
  <si>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</si>
  <si>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</si>
  <si>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</si>
  <si>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</si>
  <si>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</si>
  <si>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</si>
  <si>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</si>
  <si>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</si>
  <si>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</si>
  <si>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</si>
  <si>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</si>
  <si>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</si>
  <si>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</si>
  <si>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</si>
  <si>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</si>
  <si>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</si>
  <si>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</si>
  <si>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</si>
  <si>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</si>
  <si>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</si>
  <si>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</si>
  <si>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</si>
  <si>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</si>
  <si>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</si>
  <si>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</si>
  <si>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</si>
  <si>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</si>
  <si>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</si>
  <si>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</si>
  <si>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</si>
  <si>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</si>
  <si>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</si>
  <si>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</si>
  <si>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</si>
  <si>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</si>
  <si>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</si>
  <si>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</si>
  <si>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</si>
  <si>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</si>
  <si>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</si>
  <si>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</si>
  <si>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</si>
  <si>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</si>
  <si>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</si>
  <si>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</si>
  <si>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</si>
  <si>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</si>
  <si>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</si>
  <si>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</si>
  <si>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</si>
  <si>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</si>
  <si>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</si>
  <si>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</si>
  <si>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</si>
  <si>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</si>
  <si>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</si>
  <si>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</si>
  <si>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</si>
  <si>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</si>
  <si>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</si>
  <si>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</si>
  <si>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</si>
  <si>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</si>
  <si>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</si>
  <si>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</si>
  <si>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</si>
  <si>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</si>
  <si>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</si>
  <si>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</si>
  <si>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</si>
  <si>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</si>
  <si>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</si>
  <si>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</si>
  <si>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</si>
  <si>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</si>
  <si>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</si>
  <si>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</si>
  <si>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</si>
  <si>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</si>
  <si>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</si>
  <si>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</si>
  <si>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</si>
  <si>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</si>
  <si>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</si>
  <si>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</si>
  <si>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</si>
  <si>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</si>
  <si>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</si>
  <si>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</si>
  <si>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</si>
  <si>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</si>
  <si>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</si>
  <si>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</si>
  <si>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</si>
  <si>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</si>
  <si>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</si>
  <si>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</si>
  <si>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</si>
  <si>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</si>
  <si>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</si>
  <si>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</si>
  <si>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</si>
  <si>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</si>
  <si>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</si>
  <si>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</si>
  <si>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</si>
  <si>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</si>
  <si>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</si>
  <si>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</si>
  <si>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</si>
  <si>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</si>
  <si>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</si>
  <si>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</si>
  <si>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</si>
  <si>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</si>
  <si>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</si>
  <si>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</si>
  <si>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</si>
  <si>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</si>
  <si>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</si>
  <si>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</si>
  <si>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</si>
  <si>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</si>
  <si>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</si>
  <si>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</si>
  <si>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</si>
  <si>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</si>
  <si>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</si>
  <si>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</si>
  <si>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</si>
  <si>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</si>
  <si>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</si>
  <si>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</si>
  <si>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</si>
  <si>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</si>
  <si>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</si>
  <si>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</si>
  <si>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</si>
  <si>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</si>
  <si>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</si>
  <si>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</si>
  <si>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</si>
  <si>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</si>
  <si>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</si>
  <si>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</si>
  <si>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</si>
  <si>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</si>
  <si>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</si>
  <si>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</si>
  <si>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</si>
  <si>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</si>
  <si>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</si>
  <si>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</si>
  <si>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</si>
  <si>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</si>
  <si>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</si>
  <si>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</si>
  <si>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</si>
  <si>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</si>
  <si>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</si>
  <si>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</si>
  <si>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</si>
  <si>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</si>
  <si>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</si>
  <si>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</si>
  <si>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</si>
  <si>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</si>
  <si>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</si>
  <si>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</si>
  <si>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</si>
  <si>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</si>
  <si>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</si>
  <si>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</si>
  <si>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</si>
  <si>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</si>
  <si>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</si>
  <si>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</si>
  <si>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</si>
  <si>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</si>
  <si>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</si>
  <si>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</si>
  <si>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</si>
  <si>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</si>
  <si>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</si>
  <si>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</si>
  <si>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</si>
  <si>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</si>
  <si>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</si>
  <si>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</si>
  <si>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</si>
  <si>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</si>
  <si>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</si>
  <si>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</si>
  <si>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</si>
  <si>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</si>
  <si>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</si>
  <si>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</si>
  <si>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</si>
  <si>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</si>
  <si>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</si>
  <si>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</si>
  <si>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</si>
  <si>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</si>
  <si>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</si>
  <si>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</si>
  <si>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</si>
  <si>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</si>
  <si>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</si>
  <si>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</si>
  <si>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</si>
  <si>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</si>
  <si>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</si>
  <si>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</si>
  <si>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</si>
  <si>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</si>
  <si>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</si>
  <si>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</si>
  <si>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</si>
  <si>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</si>
  <si>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</si>
  <si>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</si>
  <si>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</si>
  <si>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</si>
  <si>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</si>
  <si>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</si>
  <si>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</si>
  <si>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</si>
  <si>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</si>
  <si>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</si>
  <si>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</si>
  <si>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</si>
  <si>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</si>
  <si>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</si>
  <si>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</si>
  <si>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</si>
  <si>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</si>
  <si>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</si>
  <si>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</si>
  <si>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</si>
  <si>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</si>
  <si>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</si>
  <si>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</si>
  <si>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</si>
  <si>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</si>
  <si>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</si>
  <si>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</si>
  <si>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</si>
  <si>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</si>
  <si>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</si>
  <si>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</si>
  <si>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</si>
  <si>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</si>
  <si>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</si>
  <si>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</si>
  <si>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</si>
  <si>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</si>
  <si>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</si>
  <si>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</si>
  <si>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</si>
  <si>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</si>
  <si>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</si>
  <si>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</si>
  <si>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</si>
  <si>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</si>
  <si>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</si>
  <si>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</si>
  <si>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</si>
  <si>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</si>
  <si>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</si>
  <si>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</si>
  <si>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</si>
  <si>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</si>
  <si>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</si>
  <si>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</si>
  <si>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</si>
  <si>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</si>
  <si>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</si>
  <si>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</si>
  <si>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</si>
  <si>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</si>
  <si>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</si>
  <si>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</si>
  <si>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</si>
  <si>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</si>
  <si>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</si>
  <si>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</si>
  <si>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</si>
  <si>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</si>
  <si>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</si>
  <si>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</si>
  <si>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</si>
  <si>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</si>
  <si>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</si>
  <si>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</si>
  <si>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</si>
  <si>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</si>
  <si>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</si>
  <si>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</si>
  <si>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</si>
  <si>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</si>
  <si>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</si>
  <si>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</si>
  <si>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</si>
  <si>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</si>
  <si>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</si>
  <si>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</si>
  <si>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</si>
  <si>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</si>
  <si>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</si>
  <si>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</si>
  <si>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</si>
  <si>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</si>
  <si>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</si>
  <si>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</si>
  <si>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</si>
  <si>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</si>
  <si>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</si>
  <si>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</si>
  <si>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</si>
  <si>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</si>
  <si>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</si>
  <si>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</si>
  <si>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</si>
  <si>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</si>
  <si>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</si>
  <si>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</si>
  <si>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</si>
  <si>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</si>
  <si>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</si>
  <si>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</si>
  <si>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</si>
  <si>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</si>
  <si>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</si>
  <si>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</si>
  <si>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</si>
  <si>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</si>
  <si>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</si>
  <si>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</si>
  <si>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</si>
  <si>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</si>
  <si>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</si>
  <si>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</si>
  <si>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</si>
  <si>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</si>
  <si>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</si>
  <si>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</si>
  <si>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</si>
  <si>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</si>
  <si>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</si>
  <si>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</si>
  <si>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</si>
  <si>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</si>
  <si>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</si>
  <si>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</si>
  <si>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</si>
  <si>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</si>
  <si>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</si>
  <si>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</si>
  <si>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</si>
  <si>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</si>
  <si>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</si>
  <si>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</si>
  <si>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</si>
  <si>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</si>
  <si>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</si>
  <si>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</si>
  <si>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</si>
  <si>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</si>
  <si>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</si>
  <si>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</si>
  <si>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</si>
  <si>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</si>
  <si>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</si>
  <si>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</si>
  <si>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</si>
  <si>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</si>
  <si>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</si>
  <si>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</si>
  <si>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</si>
  <si>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</si>
  <si>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</si>
  <si>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</si>
  <si>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</si>
  <si>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</si>
  <si>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</si>
  <si>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</si>
  <si>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</si>
  <si>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</si>
  <si>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</si>
  <si>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</si>
  <si>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</si>
  <si>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</si>
  <si>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</si>
  <si>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</si>
  <si>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</si>
  <si>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</si>
  <si>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</si>
  <si>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</si>
  <si>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</si>
  <si>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</si>
  <si>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</si>
  <si>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</si>
  <si>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</si>
  <si>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</si>
  <si>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</si>
  <si>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</si>
  <si>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</si>
  <si>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</si>
  <si>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</si>
  <si>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</si>
  <si>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</si>
  <si>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</si>
  <si>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</si>
  <si>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</si>
  <si>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</si>
  <si>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</si>
  <si>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</si>
  <si>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</si>
  <si>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</si>
  <si>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</si>
  <si>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</si>
  <si>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</si>
  <si>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</si>
  <si>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</si>
  <si>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</si>
  <si>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</si>
  <si>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</si>
  <si>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</si>
  <si>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</si>
  <si>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</si>
  <si>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</si>
  <si>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</si>
  <si>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</si>
  <si>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</si>
  <si>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</si>
  <si>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</si>
  <si>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</si>
  <si>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</si>
  <si>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</si>
  <si>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</si>
  <si>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</si>
  <si>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</si>
  <si>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</si>
  <si>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</si>
  <si>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</si>
  <si>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</si>
  <si>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</si>
  <si>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</si>
  <si>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</si>
  <si>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</si>
  <si>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</si>
  <si>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</si>
  <si>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</si>
  <si>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</si>
  <si>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</si>
  <si>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</si>
  <si>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</si>
  <si>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</si>
  <si>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</si>
  <si>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</si>
  <si>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</si>
  <si>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</si>
  <si>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</si>
  <si>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</si>
  <si>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</si>
  <si>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</si>
  <si>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</si>
  <si>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</si>
  <si>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</si>
  <si>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</si>
  <si>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</si>
  <si>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</si>
  <si>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</si>
  <si>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</si>
  <si>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</si>
  <si>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</si>
  <si>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</si>
  <si>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</si>
  <si>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</si>
  <si>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</si>
  <si>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</si>
  <si>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</si>
  <si>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</si>
  <si>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</si>
  <si>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</si>
  <si>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</si>
  <si>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</si>
  <si>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</si>
  <si>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</si>
  <si>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</si>
  <si>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</si>
  <si>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</si>
  <si>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</si>
  <si>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</si>
  <si>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</si>
  <si>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</si>
  <si>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</si>
  <si>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</si>
  <si>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</si>
  <si>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</si>
  <si>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</si>
  <si>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</si>
  <si>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</si>
  <si>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</si>
  <si>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</si>
  <si>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</si>
  <si>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</si>
  <si>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</si>
  <si>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</si>
  <si>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</si>
  <si>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</si>
  <si>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</si>
  <si>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</si>
  <si>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</si>
  <si>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</si>
  <si>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</si>
  <si>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</si>
  <si>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</si>
  <si>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</si>
  <si>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</si>
  <si>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</si>
  <si>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</si>
  <si>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</si>
  <si>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</si>
  <si>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</si>
  <si>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</si>
  <si>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</si>
  <si>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</si>
  <si>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</si>
  <si>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</si>
  <si>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</si>
  <si>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</si>
  <si>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</si>
  <si>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</si>
  <si>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</si>
  <si>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</si>
  <si>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</si>
  <si>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</si>
  <si>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</si>
  <si>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</si>
  <si>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</si>
  <si>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</si>
  <si>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</si>
  <si>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</si>
  <si>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</si>
  <si>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</si>
  <si>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</si>
  <si>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</si>
  <si>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</si>
  <si>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</si>
  <si>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</si>
  <si>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</si>
  <si>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</si>
  <si>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</si>
  <si>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</si>
  <si>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</si>
  <si>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</si>
  <si>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</si>
  <si>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</si>
  <si>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</si>
  <si>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</si>
  <si>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</si>
  <si>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</si>
  <si>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</si>
  <si>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</si>
  <si>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</si>
  <si>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</si>
  <si>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</si>
  <si>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</si>
  <si>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</si>
  <si>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</si>
  <si>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</si>
  <si>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</si>
  <si>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</si>
  <si>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</si>
  <si>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</si>
  <si>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</si>
  <si>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</si>
  <si>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</si>
  <si>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</si>
  <si>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</si>
  <si>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</si>
  <si>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</si>
  <si>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</si>
  <si>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</si>
  <si>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</si>
  <si>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</si>
  <si>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</si>
  <si>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</si>
  <si>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</si>
  <si>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</si>
  <si>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</si>
  <si>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</si>
  <si>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</si>
  <si>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</si>
  <si>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</si>
  <si>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</si>
  <si>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</si>
  <si>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</si>
  <si>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</si>
  <si>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</si>
  <si>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</si>
  <si>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</si>
  <si>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</si>
  <si>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</si>
  <si>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</si>
  <si>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</si>
  <si>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</si>
  <si>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</si>
  <si>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</si>
  <si>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</si>
  <si>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</si>
  <si>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</si>
  <si>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</si>
  <si>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</si>
  <si>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</si>
  <si>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</si>
  <si>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</si>
  <si>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</si>
  <si>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</si>
  <si>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</si>
  <si>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</si>
  <si>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</si>
  <si>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</si>
  <si>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</si>
  <si>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</si>
  <si>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</si>
  <si>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</si>
  <si>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</si>
  <si>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</si>
  <si>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</si>
  <si>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</si>
  <si>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</si>
  <si>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</si>
  <si>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</si>
  <si>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</si>
  <si>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</si>
  <si>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</si>
  <si>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</si>
  <si>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</si>
  <si>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</si>
  <si>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</si>
  <si>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</si>
  <si>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</si>
  <si>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</si>
  <si>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</si>
  <si>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</si>
  <si>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</si>
  <si>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</si>
  <si>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</si>
  <si>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</si>
  <si>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</si>
  <si>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</si>
  <si>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</si>
  <si>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</si>
  <si>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</si>
  <si>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</si>
  <si>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</si>
  <si>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</si>
  <si>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</si>
  <si>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</si>
  <si>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</si>
  <si>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</si>
  <si>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</si>
  <si>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</si>
  <si>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</si>
  <si>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</si>
  <si>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</si>
  <si>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</si>
  <si>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</si>
  <si>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</si>
  <si>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</si>
  <si>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</si>
  <si>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</si>
  <si>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</si>
  <si>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</si>
  <si>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</si>
  <si>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</si>
  <si>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</si>
  <si>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</si>
  <si>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</si>
  <si>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</si>
  <si>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</si>
  <si>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</si>
  <si>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</si>
  <si>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</si>
  <si>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</si>
  <si>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</si>
  <si>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</si>
  <si>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</si>
  <si>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</si>
  <si>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</si>
  <si>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</si>
  <si>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</si>
  <si>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</si>
  <si>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</si>
  <si>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</si>
  <si>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</si>
  <si>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</si>
  <si>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</si>
  <si>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</si>
  <si>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</si>
  <si>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</si>
  <si>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</si>
  <si>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</si>
  <si>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</si>
  <si>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</si>
  <si>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</si>
  <si>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</si>
  <si>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</si>
  <si>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</si>
  <si>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</si>
  <si>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</si>
  <si>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</si>
  <si>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</si>
  <si>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</si>
  <si>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</si>
  <si>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</si>
  <si>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</si>
  <si>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</si>
  <si>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</si>
  <si>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</si>
  <si>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</si>
  <si>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</si>
  <si>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</si>
  <si>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</si>
  <si>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</si>
  <si>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</si>
  <si>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</si>
  <si>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</si>
  <si>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</si>
  <si>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</si>
  <si>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</si>
  <si>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</si>
  <si>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</si>
  <si>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</si>
  <si>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</si>
  <si>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</si>
  <si>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</si>
  <si>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</si>
  <si>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</si>
  <si>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</si>
  <si>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</si>
  <si>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</si>
  <si>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</si>
  <si>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</si>
  <si>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</si>
  <si>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</si>
  <si>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</si>
  <si>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</si>
  <si>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</si>
  <si>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</si>
  <si>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</si>
  <si>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</si>
  <si>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</si>
  <si>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</si>
  <si>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</si>
  <si>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</si>
  <si>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</si>
  <si>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</si>
  <si>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</si>
  <si>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</si>
  <si>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</si>
  <si>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</si>
  <si>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</si>
  <si>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</si>
  <si>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</si>
  <si>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</si>
  <si>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</si>
  <si>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</si>
  <si>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</si>
  <si>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</si>
  <si>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</si>
  <si>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</si>
  <si>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</si>
  <si>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</si>
  <si>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</si>
  <si>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</si>
  <si>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</si>
  <si>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</si>
  <si>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</si>
  <si>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</si>
  <si>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</si>
  <si>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</si>
  <si>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</si>
  <si>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</si>
  <si>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</si>
  <si>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</si>
  <si>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</si>
  <si>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</si>
  <si>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</si>
  <si>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</si>
  <si>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</si>
  <si>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</si>
  <si>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</si>
  <si>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</si>
  <si>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</si>
  <si>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</si>
  <si>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</si>
  <si>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</si>
  <si>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</si>
  <si>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</si>
  <si>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</si>
  <si>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</si>
  <si>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</si>
  <si>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</si>
  <si>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</si>
  <si>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</si>
  <si>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</si>
  <si>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</si>
  <si>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</si>
  <si>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</si>
  <si>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</si>
  <si>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</si>
  <si>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</si>
  <si>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</si>
  <si>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</si>
  <si>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</si>
  <si>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</si>
  <si>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</si>
  <si>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</si>
  <si>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</si>
  <si>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</si>
  <si>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</si>
  <si>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</si>
  <si>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</si>
  <si>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</si>
  <si>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</si>
  <si>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</si>
  <si>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</si>
  <si>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</si>
  <si>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</si>
  <si>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</si>
  <si>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</si>
  <si>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</si>
  <si>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</si>
  <si>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</si>
  <si>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</si>
  <si>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</si>
  <si>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</si>
  <si>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</si>
  <si>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</si>
  <si>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</si>
  <si>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</si>
  <si>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</si>
  <si>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</si>
  <si>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</si>
  <si>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</si>
  <si>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</si>
  <si>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</si>
  <si>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</si>
  <si>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</si>
  <si>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</si>
  <si>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</si>
  <si>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</si>
  <si>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</si>
  <si>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</si>
  <si>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</si>
  <si>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</si>
  <si>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</si>
  <si>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</si>
  <si>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</si>
  <si>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</si>
  <si>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</si>
  <si>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</si>
  <si>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</si>
  <si>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</si>
  <si>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</si>
  <si>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</si>
  <si>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</si>
  <si>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</si>
  <si>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</si>
  <si>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</si>
  <si>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</si>
  <si>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</si>
  <si>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</si>
  <si>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</si>
  <si>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</si>
  <si>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</si>
  <si>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</si>
  <si>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</si>
  <si>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</si>
  <si>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</si>
  <si>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</si>
  <si>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</si>
  <si>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</si>
  <si>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</si>
  <si>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</si>
  <si>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</si>
  <si>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</si>
  <si>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</si>
  <si>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</si>
  <si>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</si>
  <si>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</si>
  <si>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</si>
  <si>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</si>
  <si>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</si>
  <si>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</si>
  <si>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</si>
  <si>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</si>
  <si>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</si>
  <si>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</si>
  <si>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</si>
  <si>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</si>
  <si>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</si>
  <si>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</si>
  <si>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</si>
  <si>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</si>
  <si>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</si>
  <si>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</si>
  <si>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</si>
  <si>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</si>
  <si>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</si>
  <si>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</si>
  <si>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</si>
  <si>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</si>
  <si>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</si>
  <si>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</si>
  <si>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</si>
  <si>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</si>
  <si>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</si>
  <si>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</si>
  <si>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</si>
  <si>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</si>
  <si>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</si>
  <si>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</si>
  <si>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</si>
  <si>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</si>
  <si>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</si>
  <si>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</si>
  <si>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</si>
  <si>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</si>
  <si>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</si>
  <si>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</si>
  <si>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</si>
  <si>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</si>
  <si>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</si>
  <si>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</si>
  <si>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</si>
  <si>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</si>
  <si>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</si>
  <si>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</si>
  <si>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</si>
  <si>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</si>
  <si>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</si>
  <si>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</si>
  <si>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</si>
  <si>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</si>
  <si>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</si>
  <si>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</si>
  <si>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</si>
  <si>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</si>
  <si>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</si>
  <si>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</si>
  <si>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</si>
  <si>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</si>
  <si>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</si>
  <si>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</si>
  <si>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</si>
  <si>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</si>
  <si>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</si>
  <si>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</si>
  <si>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</si>
  <si>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</si>
  <si>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</si>
  <si>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</si>
  <si>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</si>
  <si>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</si>
  <si>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</si>
  <si>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</si>
  <si>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</si>
  <si>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</si>
  <si>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</si>
  <si>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</si>
  <si>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</si>
  <si>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</si>
  <si>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</si>
  <si>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</si>
  <si>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</si>
  <si>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</si>
  <si>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</si>
  <si>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</si>
  <si>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</si>
  <si>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</si>
  <si>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</si>
  <si>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</si>
  <si>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</si>
  <si>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</si>
  <si>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</si>
  <si>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</si>
  <si>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</si>
  <si>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</si>
  <si>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</si>
  <si>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</si>
  <si>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</si>
  <si>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</si>
  <si>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</si>
  <si>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</si>
  <si>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</si>
  <si>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</si>
  <si>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</si>
  <si>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</si>
  <si>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</si>
  <si>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</si>
  <si>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</si>
  <si>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</si>
  <si>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</si>
  <si>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</si>
  <si>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</si>
  <si>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</si>
  <si>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</si>
  <si>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</si>
  <si>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</si>
  <si>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</si>
  <si>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</si>
  <si>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</si>
  <si>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</si>
  <si>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</si>
  <si>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</si>
  <si>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</si>
  <si>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</si>
  <si>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</si>
  <si>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</si>
  <si>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</si>
  <si>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</si>
  <si>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</si>
  <si>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</si>
  <si>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</si>
  <si>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</si>
  <si>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</si>
  <si>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</si>
  <si>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</si>
  <si>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</si>
  <si>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</si>
  <si>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</si>
  <si>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</si>
  <si>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</si>
  <si>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</si>
  <si>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</si>
  <si>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</si>
  <si>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</si>
  <si>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</si>
  <si>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</si>
  <si>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</si>
  <si>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</si>
  <si>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</si>
  <si>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</si>
  <si>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</si>
  <si>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</si>
  <si>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</si>
  <si>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</si>
  <si>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</si>
  <si>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</si>
  <si>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</si>
  <si>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</si>
  <si>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</si>
  <si>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</si>
  <si>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</si>
  <si>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</si>
  <si>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</si>
  <si>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</si>
  <si>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</si>
  <si>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</si>
  <si>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</si>
  <si>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</si>
  <si>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</si>
  <si>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</si>
  <si>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</si>
  <si>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</si>
  <si>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</si>
  <si>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</si>
  <si>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</si>
  <si>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</si>
  <si>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</si>
  <si>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</si>
  <si>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</si>
  <si>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</si>
  <si>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</si>
  <si>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</si>
  <si>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</si>
  <si>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</si>
  <si>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</si>
  <si>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</si>
  <si>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</si>
  <si>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</si>
  <si>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</si>
  <si>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</si>
  <si>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</si>
  <si>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</si>
  <si>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</si>
  <si>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</si>
  <si>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</si>
  <si>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</si>
  <si>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طلب نوسانگیری و مانده سکه 7341</t>
  </si>
  <si>
    <t>28/10/1400</t>
  </si>
  <si>
    <t>اعتبار 200 میلیون تومن</t>
  </si>
  <si>
    <t xml:space="preserve">ومهان 206315 تا 398 </t>
  </si>
  <si>
    <t>29/10/1400</t>
  </si>
  <si>
    <t>ومهان 32558 تا 400</t>
  </si>
  <si>
    <t>ومهان 9612 تا 402.9</t>
  </si>
  <si>
    <t>وغدیر 89369 تا 1268</t>
  </si>
  <si>
    <t>2/10/1400</t>
  </si>
  <si>
    <t>2/10/1401</t>
  </si>
  <si>
    <t>2/10/1402</t>
  </si>
  <si>
    <t>2/10/1403</t>
  </si>
  <si>
    <t>2/11/1400</t>
  </si>
  <si>
    <t>ومهان 44401 تا 395</t>
  </si>
  <si>
    <t>وغدیر 69431 تا 1371</t>
  </si>
  <si>
    <t>علی اعتبار 200 میلیونی 92369 تا وغدیر 206315 تا ومهان</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</si>
</sst>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 fontId="0" fillId="10" borderId="1" xfId="0" applyNumberFormat="1" applyFill="1" applyBorder="1" applyAlignment="1">
      <alignment horizontal="center" vertical="center"/>
    </xf>
    <xf numFmtId="0" fontId="0" fillId="5" borderId="1" xfId="0" applyFill="1" applyBorder="1" applyAlignment="1"/>
  </cellXfs>
  <cellStyles count="4">
    <cellStyle name="Hyperlink" xfId="1" builtinId="8"/>
    <cellStyle name="Normal" xfId="0" builtinId="0"/>
    <cellStyle name="Normal 2" xfId="3"/>
    <cellStyle name="Normal 3" xfId="2"/>
  </cellStyles>
  <dxfs count="19">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C18" sqref="C18"/>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322.13094885751696</v>
      </c>
      <c r="E23" s="367"/>
      <c r="F23" s="366">
        <f>F2+F3+F16+F17+F18+F19+F20+SUM(F6:F14)*0.9</f>
        <v>221.05262864709897</v>
      </c>
      <c r="G23" s="256"/>
      <c r="H23" s="364">
        <f>SUM(H2:H22)</f>
        <v>502.57359435167336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30">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3"/>
  <sheetViews>
    <sheetView tabSelected="1" topLeftCell="O139" zoomScale="85" zoomScaleNormal="85" workbookViewId="0">
      <selection activeCell="AA171" sqref="AA17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T115</f>
        <v>1200</v>
      </c>
      <c r="U20" s="166" t="s">
        <v>4280</v>
      </c>
      <c r="V20" s="166">
        <v>192.1</v>
      </c>
      <c r="W20" s="166">
        <f t="shared" ref="W20:W51" si="6">V20*(1+$S$111+$R$15*T20/36500)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461738388</v>
      </c>
      <c r="O21" s="97">
        <v>353011</v>
      </c>
      <c r="P21" s="93">
        <f>P48</f>
        <v>1308</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1297</v>
      </c>
      <c r="AN21" s="111">
        <f t="shared" ref="AN21:AN120" si="10">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10777788</v>
      </c>
      <c r="O22" s="97">
        <v>27012</v>
      </c>
      <c r="P22" s="93">
        <f>P49</f>
        <v>399</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1296</v>
      </c>
      <c r="AN22" s="111">
        <f t="shared" si="10"/>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1295</v>
      </c>
      <c r="AN23" s="111">
        <f t="shared" si="10"/>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192820460.3114357</v>
      </c>
      <c r="G24" s="93">
        <f t="shared" si="0"/>
        <v>87485885.070502937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1294</v>
      </c>
      <c r="AN24" s="111">
        <f t="shared" si="10"/>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1282</v>
      </c>
      <c r="AN25" s="111">
        <f t="shared" si="10"/>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1276</v>
      </c>
      <c r="AN26" s="111">
        <f t="shared" si="10"/>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1275</v>
      </c>
      <c r="AN27" s="111">
        <f t="shared" si="10"/>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3470783844</v>
      </c>
      <c r="O28" s="97">
        <v>2482678</v>
      </c>
      <c r="P28" s="183">
        <v>1398</v>
      </c>
      <c r="Q28" s="67">
        <f>N28*100/$S$195</f>
        <v>33.635914655056538</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1274</v>
      </c>
      <c r="AN28" s="111">
        <f t="shared" si="10"/>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298320529</v>
      </c>
      <c r="O29" s="97">
        <v>692159</v>
      </c>
      <c r="P29" s="183">
        <v>431</v>
      </c>
      <c r="Q29" s="67">
        <f>N29*100/$S$195</f>
        <v>2.8910713845351528</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1269</v>
      </c>
      <c r="AN29" s="111">
        <f t="shared" si="10"/>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1268</v>
      </c>
      <c r="AN30" s="111">
        <f t="shared" si="10"/>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1263</v>
      </c>
      <c r="AN31" s="111">
        <f t="shared" si="10"/>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1262</v>
      </c>
      <c r="AN32" s="111">
        <f t="shared" si="10"/>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1246</v>
      </c>
      <c r="AN33" s="111">
        <f t="shared" si="10"/>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-X173</f>
        <v>212967625.3114357</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1246</v>
      </c>
      <c r="AN34" s="111">
        <f t="shared" si="10"/>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405447300</v>
      </c>
      <c r="O35" s="67">
        <v>309975</v>
      </c>
      <c r="P35" s="97">
        <f>P48</f>
        <v>1308</v>
      </c>
      <c r="Q35" s="67">
        <f>N35*100/$S$195</f>
        <v>3.9292538495298772</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1234</v>
      </c>
      <c r="AN35" s="111">
        <f t="shared" si="10"/>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33036003</v>
      </c>
      <c r="O36" s="67">
        <v>82797</v>
      </c>
      <c r="P36" s="97">
        <f>P49</f>
        <v>399</v>
      </c>
      <c r="Q36" s="67">
        <f>N36*100/$S$195</f>
        <v>0.32015712513273753</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1232</v>
      </c>
      <c r="AN36" s="111">
        <f t="shared" si="10"/>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1232</v>
      </c>
      <c r="AN37" s="111">
        <f t="shared" si="10"/>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1231</v>
      </c>
      <c r="AN38" s="111">
        <f t="shared" si="10"/>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1227</v>
      </c>
      <c r="AN39" s="111">
        <f t="shared" si="10"/>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O28-13604</f>
        <v>2469074</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1224</v>
      </c>
      <c r="AN40" s="111">
        <f t="shared" si="10"/>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O29+44401</f>
        <v>736560</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1220</v>
      </c>
      <c r="AN41" s="111">
        <f t="shared" si="10"/>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1219</v>
      </c>
      <c r="AN42" s="111">
        <f t="shared" si="10"/>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1219</v>
      </c>
      <c r="AN43" s="111">
        <f t="shared" si="10"/>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1218</v>
      </c>
      <c r="AN44" s="111">
        <f t="shared" si="10"/>
        <v>133980000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1217</v>
      </c>
      <c r="AN45" s="111">
        <f t="shared" si="10"/>
        <v>462460000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1210</v>
      </c>
      <c r="AN46" s="111">
        <f t="shared" si="10"/>
        <v>544500000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314</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1204</v>
      </c>
      <c r="AN47" s="111">
        <f t="shared" si="10"/>
        <v>3371200000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7121</v>
      </c>
      <c r="L48" s="115">
        <v>25000000</v>
      </c>
      <c r="M48" s="19" t="s">
        <v>4156</v>
      </c>
      <c r="N48" s="111">
        <f t="shared" ref="N48:N55" si="29">O48*P48</f>
        <v>4257201228</v>
      </c>
      <c r="O48" s="97">
        <v>3254741</v>
      </c>
      <c r="P48" s="97">
        <v>1308</v>
      </c>
      <c r="Q48" s="67">
        <f>N48*100/$S$195</f>
        <v>41.257209786185086</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1203</v>
      </c>
      <c r="AN48" s="111">
        <f t="shared" si="10"/>
        <v>-1804500000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1881129789</v>
      </c>
      <c r="O49" s="97">
        <v>4714611</v>
      </c>
      <c r="P49" s="97">
        <v>399</v>
      </c>
      <c r="Q49" s="67">
        <f>N49*100/$S$195</f>
        <v>18.230326024846079</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1203</v>
      </c>
      <c r="AN49" s="111">
        <f t="shared" si="10"/>
        <v>3669150000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1200</v>
      </c>
      <c r="AN50" s="111">
        <f t="shared" si="10"/>
        <v>-9959534400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1198</v>
      </c>
      <c r="AN51" s="111">
        <f t="shared" si="10"/>
        <v>5990000000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-23720000</v>
      </c>
      <c r="M52" s="19" t="s">
        <v>4358</v>
      </c>
      <c r="N52" s="115">
        <f t="shared" si="29"/>
        <v>0</v>
      </c>
      <c r="O52" s="67">
        <v>0</v>
      </c>
      <c r="P52" s="67">
        <v>19445</v>
      </c>
      <c r="Q52" s="67"/>
      <c r="R52" s="167"/>
      <c r="S52" s="205" t="s">
        <v>5664</v>
      </c>
      <c r="T52" s="193">
        <f>T51-2</f>
        <v>428</v>
      </c>
      <c r="U52" s="205" t="s">
        <v>5665</v>
      </c>
      <c r="V52" s="205"/>
      <c r="W52" s="205">
        <f t="shared" ref="W52:W76" si="30">V52*(1+$S$111+$R$15*T52/36500)</f>
        <v>0</v>
      </c>
      <c r="X52" s="32">
        <f t="shared" si="27"/>
        <v>0</v>
      </c>
      <c r="Y52" s="32">
        <f t="shared" si="28"/>
        <v>0</v>
      </c>
      <c r="Z52" s="94">
        <v>19196</v>
      </c>
      <c r="AA52" s="120"/>
      <c r="AB52" s="94"/>
      <c r="AI52" s="97">
        <v>33</v>
      </c>
      <c r="AJ52" s="111" t="s">
        <v>973</v>
      </c>
      <c r="AK52" s="111">
        <v>-90000</v>
      </c>
      <c r="AL52" s="97">
        <v>1</v>
      </c>
      <c r="AM52" s="97">
        <f t="shared" si="9"/>
        <v>1184</v>
      </c>
      <c r="AN52" s="111">
        <f t="shared" si="10"/>
        <v>-106560000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1183</v>
      </c>
      <c r="AN53" s="111">
        <f t="shared" si="10"/>
        <v>6624800000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1179</v>
      </c>
      <c r="AN54" s="111">
        <f t="shared" si="10"/>
        <v>884250000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1177</v>
      </c>
      <c r="AN55" s="168">
        <f t="shared" si="10"/>
        <v>-4992834000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1186000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1175</v>
      </c>
      <c r="AN56" s="111">
        <f t="shared" si="10"/>
        <v>4817500000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1175</v>
      </c>
      <c r="AN57" s="111">
        <f t="shared" si="10"/>
        <v>4817500000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1174</v>
      </c>
      <c r="AN58" s="111">
        <f t="shared" si="10"/>
        <v>927460000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1159</v>
      </c>
      <c r="AN59" s="170">
        <f t="shared" si="10"/>
        <v>-4479535000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O48+92369</f>
        <v>3347110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1153</v>
      </c>
      <c r="AN60" s="111">
        <f t="shared" si="10"/>
        <v>21676400000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1150</v>
      </c>
      <c r="AN61" s="111">
        <f t="shared" si="10"/>
        <v>575000000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T115-1138</f>
        <v>62</v>
      </c>
      <c r="U62" s="205" t="s">
        <v>6977</v>
      </c>
      <c r="V62" s="205">
        <v>1500</v>
      </c>
      <c r="W62" s="205">
        <f t="shared" si="30"/>
        <v>1594.1424657534246</v>
      </c>
      <c r="X62" s="32">
        <f t="shared" ref="X62:X78" si="35">W62*(1+$X$19/100)</f>
        <v>1626.0253150684932</v>
      </c>
      <c r="Y62" s="32">
        <f t="shared" ref="Y62:Y78" si="36">W62*(1+$Y$19/100)</f>
        <v>1657.9081643835616</v>
      </c>
      <c r="Z62" s="120">
        <v>65644</v>
      </c>
      <c r="AA62" s="120"/>
      <c r="AB62" s="431"/>
      <c r="AC62" s="94"/>
      <c r="AD62" s="94"/>
      <c r="AI62" s="20">
        <v>43</v>
      </c>
      <c r="AJ62" s="115" t="s">
        <v>4069</v>
      </c>
      <c r="AK62" s="115">
        <v>200000</v>
      </c>
      <c r="AL62" s="20">
        <v>3</v>
      </c>
      <c r="AM62" s="97">
        <f>AM63+AL62</f>
        <v>1149</v>
      </c>
      <c r="AN62" s="111">
        <f t="shared" si="10"/>
        <v>229800000</v>
      </c>
      <c r="AO62" s="20"/>
    </row>
    <row r="63" spans="1:46">
      <c r="E63" s="26"/>
      <c r="J63" s="112"/>
      <c r="K63" s="205"/>
      <c r="L63" s="115"/>
      <c r="M63" s="166"/>
      <c r="N63" s="111"/>
      <c r="O63">
        <f>O49+9612</f>
        <v>4724223</v>
      </c>
      <c r="P63" t="s">
        <v>25</v>
      </c>
      <c r="Q63" s="113"/>
      <c r="R63" s="167"/>
      <c r="S63" s="205" t="s">
        <v>7028</v>
      </c>
      <c r="T63" s="193">
        <f>T115-1144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1146</v>
      </c>
      <c r="AN63" s="111">
        <f t="shared" si="10"/>
        <v>1146000000</v>
      </c>
      <c r="AO63" s="20"/>
    </row>
    <row r="64" spans="1:46">
      <c r="E64" s="26"/>
      <c r="J64" s="112">
        <f>J55+J56</f>
        <v>0</v>
      </c>
      <c r="K64" s="205" t="s">
        <v>5496</v>
      </c>
      <c r="L64" s="115"/>
      <c r="M64" s="166" t="s">
        <v>4401</v>
      </c>
      <c r="N64" s="111">
        <f>-X166</f>
        <v>-113874639.87433159</v>
      </c>
      <c r="P64" t="s">
        <v>25</v>
      </c>
      <c r="Q64" s="120"/>
      <c r="R64" s="167"/>
      <c r="S64" s="205" t="s">
        <v>7058</v>
      </c>
      <c r="T64" s="193">
        <f>T115-1164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1143</v>
      </c>
      <c r="AN64" s="111">
        <f t="shared" si="10"/>
        <v>1485900000</v>
      </c>
      <c r="AO64" s="20"/>
    </row>
    <row r="65" spans="1:41" ht="45">
      <c r="J65" s="112"/>
      <c r="K65" s="241" t="s">
        <v>5518</v>
      </c>
      <c r="L65" s="115">
        <v>-1605910</v>
      </c>
      <c r="M65" s="166"/>
      <c r="N65" s="111"/>
      <c r="O65">
        <f>O50-20742</f>
        <v>-20742</v>
      </c>
      <c r="P65" t="s">
        <v>25</v>
      </c>
      <c r="R65" s="167"/>
      <c r="S65" s="205" t="s">
        <v>7060</v>
      </c>
      <c r="T65" s="193">
        <f>T115-1165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1143</v>
      </c>
      <c r="AN65" s="111">
        <f t="shared" si="10"/>
        <v>1137285000</v>
      </c>
      <c r="AO65" s="20"/>
    </row>
    <row r="66" spans="1:41">
      <c r="K66" s="205"/>
      <c r="L66" s="115"/>
      <c r="M66" s="166"/>
      <c r="N66" s="111"/>
      <c r="Q66" s="113"/>
      <c r="R66" s="167"/>
      <c r="S66" s="205" t="s">
        <v>7069</v>
      </c>
      <c r="T66" s="193">
        <f>T115-1179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1141</v>
      </c>
      <c r="AN66" s="111">
        <f t="shared" si="10"/>
        <v>14833000000</v>
      </c>
      <c r="AO66" s="20"/>
    </row>
    <row r="67" spans="1:41">
      <c r="A67" t="s">
        <v>25</v>
      </c>
      <c r="F67" t="s">
        <v>310</v>
      </c>
      <c r="G67" s="9" t="s">
        <v>4080</v>
      </c>
      <c r="I67" s="94" t="s">
        <v>6379</v>
      </c>
      <c r="K67" s="205"/>
      <c r="L67" s="115"/>
      <c r="M67" s="166"/>
      <c r="N67" s="111">
        <f>SUM(N16:N66)</f>
        <v>10660765832.125668</v>
      </c>
      <c r="P67" t="s">
        <v>25</v>
      </c>
      <c r="Q67" s="113"/>
      <c r="R67" s="167"/>
      <c r="S67" s="205" t="s">
        <v>7071</v>
      </c>
      <c r="T67" s="193">
        <f>T115-1183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1139</v>
      </c>
      <c r="AN67" s="111">
        <f t="shared" si="10"/>
        <v>-3530900000</v>
      </c>
      <c r="AO67" s="20"/>
    </row>
    <row r="68" spans="1:41">
      <c r="F68" t="s">
        <v>4084</v>
      </c>
      <c r="G68" s="9" t="s">
        <v>4079</v>
      </c>
      <c r="I68" s="120" t="s">
        <v>6380</v>
      </c>
      <c r="K68" s="205" t="s">
        <v>592</v>
      </c>
      <c r="L68" s="111">
        <f>SUM(L16:L49)</f>
        <v>192820460.3114357</v>
      </c>
      <c r="M68" s="166"/>
      <c r="N68" s="111">
        <f>N16+N17+N40</f>
        <v>141053</v>
      </c>
      <c r="P68" t="s">
        <v>25</v>
      </c>
      <c r="R68" s="167"/>
      <c r="S68" s="205" t="s">
        <v>7077</v>
      </c>
      <c r="T68" s="193">
        <f>T115-1185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1136</v>
      </c>
      <c r="AN68" s="111">
        <f t="shared" si="10"/>
        <v>51847040000</v>
      </c>
      <c r="AO68" s="20"/>
    </row>
    <row r="69" spans="1:41">
      <c r="F69" t="s">
        <v>4085</v>
      </c>
      <c r="G69" s="9" t="s">
        <v>4081</v>
      </c>
      <c r="I69" s="112" t="s">
        <v>6381</v>
      </c>
      <c r="K69" s="205" t="s">
        <v>593</v>
      </c>
      <c r="L69" s="111">
        <f>L16+L17+L34</f>
        <v>217673997.3114357</v>
      </c>
      <c r="M69" s="111"/>
      <c r="N69" s="166"/>
      <c r="O69" s="113"/>
      <c r="P69" s="113" t="s">
        <v>25</v>
      </c>
      <c r="R69" s="167"/>
      <c r="S69" s="205" t="s">
        <v>7084</v>
      </c>
      <c r="T69" s="193">
        <f>T115-1190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1135</v>
      </c>
      <c r="AN69" s="111">
        <f t="shared" si="10"/>
        <v>38022500000</v>
      </c>
      <c r="AO69" s="20"/>
    </row>
    <row r="70" spans="1:41">
      <c r="G70" t="s">
        <v>4082</v>
      </c>
      <c r="I70" s="120" t="s">
        <v>6387</v>
      </c>
      <c r="K70" s="54" t="s">
        <v>708</v>
      </c>
      <c r="L70" s="111">
        <f>L68+N7</f>
        <v>292820460.3114357</v>
      </c>
      <c r="O70" s="94"/>
      <c r="P70" s="120" t="s">
        <v>25</v>
      </c>
      <c r="R70" s="167"/>
      <c r="S70" s="205" t="s">
        <v>7088</v>
      </c>
      <c r="T70" s="193">
        <f>T115-1191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1134</v>
      </c>
      <c r="AN70" s="115">
        <f t="shared" si="10"/>
        <v>13608000000</v>
      </c>
      <c r="AO70" s="20"/>
    </row>
    <row r="71" spans="1:41">
      <c r="G71" t="s">
        <v>4083</v>
      </c>
      <c r="M71" s="25"/>
      <c r="O71" t="s">
        <v>25</v>
      </c>
      <c r="R71" s="167"/>
      <c r="S71" s="205" t="s">
        <v>7117</v>
      </c>
      <c r="T71" s="193">
        <f>T115-1205</f>
        <v>-5</v>
      </c>
      <c r="U71" s="205" t="s">
        <v>7119</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1133</v>
      </c>
      <c r="AN71" s="115">
        <f t="shared" si="10"/>
        <v>17561500000</v>
      </c>
      <c r="AO71" s="20"/>
    </row>
    <row r="72" spans="1:41">
      <c r="G72" t="s">
        <v>4087</v>
      </c>
      <c r="P72" s="113"/>
      <c r="Q72" s="113"/>
      <c r="R72" s="167"/>
      <c r="S72" s="205" t="s">
        <v>7120</v>
      </c>
      <c r="T72" s="193">
        <f>T115-1207</f>
        <v>-7</v>
      </c>
      <c r="U72" s="205" t="s">
        <v>7123</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1129</v>
      </c>
      <c r="AN72" s="115">
        <f t="shared" si="10"/>
        <v>169350000</v>
      </c>
      <c r="AO72" s="20"/>
    </row>
    <row r="73" spans="1:41">
      <c r="G73" t="s">
        <v>4086</v>
      </c>
      <c r="P73" s="113"/>
      <c r="R73" s="167"/>
      <c r="S73" s="205" t="s">
        <v>7122</v>
      </c>
      <c r="T73" s="193">
        <f>T115-1210</f>
        <v>-10</v>
      </c>
      <c r="U73" s="205" t="s">
        <v>7140</v>
      </c>
      <c r="V73" s="205">
        <v>1371</v>
      </c>
      <c r="W73" s="205">
        <f t="shared" si="30"/>
        <v>1381.3219397260275</v>
      </c>
      <c r="X73" s="32">
        <f t="shared" si="35"/>
        <v>1408.948378520548</v>
      </c>
      <c r="Y73" s="32">
        <f t="shared" si="36"/>
        <v>1436.5748173150687</v>
      </c>
      <c r="Z73" s="120">
        <v>69431</v>
      </c>
      <c r="AA73" s="120"/>
      <c r="AB73" s="485"/>
      <c r="AI73" s="177">
        <v>53</v>
      </c>
      <c r="AJ73" s="178" t="s">
        <v>4149</v>
      </c>
      <c r="AK73" s="178">
        <v>29000000</v>
      </c>
      <c r="AL73" s="177">
        <v>15</v>
      </c>
      <c r="AM73" s="177">
        <f t="shared" si="37"/>
        <v>1128</v>
      </c>
      <c r="AN73" s="178">
        <f t="shared" si="10"/>
        <v>32712000000</v>
      </c>
      <c r="AO73" s="177" t="s">
        <v>4159</v>
      </c>
    </row>
    <row r="74" spans="1:41">
      <c r="J74" s="205" t="s">
        <v>4480</v>
      </c>
      <c r="K74" s="205" t="s">
        <v>4595</v>
      </c>
      <c r="L74" s="32" t="s">
        <v>4597</v>
      </c>
      <c r="M74" s="32" t="s">
        <v>4572</v>
      </c>
      <c r="N74" s="205" t="s">
        <v>4573</v>
      </c>
      <c r="Q74" s="427" t="s">
        <v>25</v>
      </c>
      <c r="R74" s="167"/>
      <c r="S74" s="205" t="s">
        <v>987</v>
      </c>
      <c r="T74" s="193">
        <f>T115-1211</f>
        <v>-11</v>
      </c>
      <c r="U74" s="205" t="s">
        <v>7125</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1113</v>
      </c>
      <c r="AN74" s="115">
        <f t="shared" si="10"/>
        <v>-144690000</v>
      </c>
      <c r="AO74" s="20" t="s">
        <v>4185</v>
      </c>
    </row>
    <row r="75" spans="1:41">
      <c r="H75" s="25"/>
      <c r="I75" s="94"/>
      <c r="J75" s="206" t="s">
        <v>4216</v>
      </c>
      <c r="K75" s="195">
        <v>837</v>
      </c>
      <c r="L75" s="207">
        <f t="shared" ref="L75:L80" si="38">K75*$L$83</f>
        <v>9926820000</v>
      </c>
      <c r="M75" s="207">
        <f>N28+N35+N48</f>
        <v>8133432372</v>
      </c>
      <c r="N75" s="181">
        <f t="shared" ref="N75:N80" si="39">L75-M75</f>
        <v>1793387628</v>
      </c>
      <c r="R75" s="167"/>
      <c r="S75" s="205" t="s">
        <v>7130</v>
      </c>
      <c r="T75" s="193">
        <f>T115-1214</f>
        <v>-14</v>
      </c>
      <c r="U75" s="205" t="s">
        <v>7131</v>
      </c>
      <c r="V75" s="205">
        <v>400</v>
      </c>
      <c r="W75" s="205">
        <f t="shared" si="30"/>
        <v>401.78410958904112</v>
      </c>
      <c r="X75" s="32">
        <f t="shared" si="35"/>
        <v>409.81979178082196</v>
      </c>
      <c r="Y75" s="32">
        <f t="shared" si="36"/>
        <v>417.85547397260279</v>
      </c>
      <c r="Z75" s="120"/>
      <c r="AA75" s="120"/>
      <c r="AB75" s="488">
        <v>32558</v>
      </c>
      <c r="AC75" s="94"/>
      <c r="AI75" s="20">
        <v>55</v>
      </c>
      <c r="AJ75" s="115" t="s">
        <v>4231</v>
      </c>
      <c r="AK75" s="115">
        <v>232000</v>
      </c>
      <c r="AL75" s="20">
        <v>2</v>
      </c>
      <c r="AM75" s="97">
        <f t="shared" si="37"/>
        <v>1106</v>
      </c>
      <c r="AN75" s="115">
        <f>AK75*AM75</f>
        <v>256592000</v>
      </c>
      <c r="AO75" s="20" t="s">
        <v>4233</v>
      </c>
    </row>
    <row r="76" spans="1:41">
      <c r="D76" s="3"/>
      <c r="E76" s="11" t="s">
        <v>304</v>
      </c>
      <c r="H76" s="175"/>
      <c r="I76" s="94"/>
      <c r="J76" s="32" t="s">
        <v>5261</v>
      </c>
      <c r="K76" s="205">
        <v>229</v>
      </c>
      <c r="L76" s="1">
        <f t="shared" si="38"/>
        <v>2715940000</v>
      </c>
      <c r="M76" s="1">
        <f>N49+N36+N29</f>
        <v>2212486321</v>
      </c>
      <c r="N76" s="111">
        <f t="shared" si="39"/>
        <v>503453679</v>
      </c>
      <c r="R76" s="167"/>
      <c r="S76" s="205" t="s">
        <v>7138</v>
      </c>
      <c r="T76" s="193">
        <f>T115-1217</f>
        <v>-17</v>
      </c>
      <c r="U76" s="205" t="s">
        <v>7139</v>
      </c>
      <c r="V76" s="205">
        <v>395</v>
      </c>
      <c r="W76" s="205">
        <f t="shared" si="30"/>
        <v>395.85276712328766</v>
      </c>
      <c r="X76" s="32">
        <f t="shared" si="35"/>
        <v>403.76982246575341</v>
      </c>
      <c r="Y76" s="32">
        <f t="shared" si="36"/>
        <v>411.68687780821921</v>
      </c>
      <c r="Z76" s="120"/>
      <c r="AA76" s="120"/>
      <c r="AB76" s="488">
        <v>44401</v>
      </c>
      <c r="AC76" s="94" t="s">
        <v>25</v>
      </c>
      <c r="AI76" s="20">
        <v>56</v>
      </c>
      <c r="AJ76" s="115" t="s">
        <v>4241</v>
      </c>
      <c r="AK76" s="115">
        <v>-170000</v>
      </c>
      <c r="AL76" s="20">
        <v>3</v>
      </c>
      <c r="AM76" s="97">
        <f t="shared" si="37"/>
        <v>1104</v>
      </c>
      <c r="AN76" s="115">
        <f t="shared" si="10"/>
        <v>-187680000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8"/>
      <c r="AI77" s="20">
        <v>57</v>
      </c>
      <c r="AJ77" s="115" t="s">
        <v>4255</v>
      </c>
      <c r="AK77" s="115">
        <v>-300000</v>
      </c>
      <c r="AL77" s="20">
        <v>3</v>
      </c>
      <c r="AM77" s="97">
        <f t="shared" si="37"/>
        <v>1101</v>
      </c>
      <c r="AN77" s="115">
        <f t="shared" si="10"/>
        <v>-330300000</v>
      </c>
      <c r="AO77" s="20"/>
    </row>
    <row r="78" spans="1:41">
      <c r="D78" s="1" t="s">
        <v>321</v>
      </c>
      <c r="E78" s="1">
        <v>100000</v>
      </c>
      <c r="H78" s="120" t="s">
        <v>4372</v>
      </c>
      <c r="J78" s="260" t="s">
        <v>5282</v>
      </c>
      <c r="K78" s="187">
        <v>0</v>
      </c>
      <c r="L78" s="261">
        <f t="shared" si="38"/>
        <v>0</v>
      </c>
      <c r="M78" s="261">
        <f>N26+N34+N47</f>
        <v>758</v>
      </c>
      <c r="N78" s="186">
        <f t="shared" si="39"/>
        <v>-758</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1098</v>
      </c>
      <c r="AN78" s="115">
        <f t="shared" si="10"/>
        <v>-12517200000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1966860024.6758094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1085</v>
      </c>
      <c r="AN79" s="115">
        <f>AK79*AM79</f>
        <v>-10850000000</v>
      </c>
      <c r="AO79" s="20"/>
    </row>
    <row r="80" spans="1:41">
      <c r="D80" s="31" t="s">
        <v>307</v>
      </c>
      <c r="E80" s="1">
        <v>150000</v>
      </c>
      <c r="H80" s="120" t="s">
        <v>4514</v>
      </c>
      <c r="I80" s="94"/>
      <c r="J80" s="236" t="s">
        <v>7089</v>
      </c>
      <c r="K80" s="189">
        <v>-194</v>
      </c>
      <c r="L80" s="237">
        <f t="shared" si="38"/>
        <v>-2300840000</v>
      </c>
      <c r="M80" s="237">
        <v>0</v>
      </c>
      <c r="N80" s="84">
        <f t="shared" si="39"/>
        <v>-2300840000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1084</v>
      </c>
      <c r="AN80" s="115">
        <f>AK80*AM80</f>
        <v>-2655800000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1079</v>
      </c>
      <c r="AN81" s="115">
        <f t="shared" si="10"/>
        <v>-492111399</v>
      </c>
      <c r="AO81" s="20"/>
    </row>
    <row r="82" spans="4:53" ht="31.5">
      <c r="D82" s="31" t="s">
        <v>309</v>
      </c>
      <c r="E82" s="1">
        <v>100000</v>
      </c>
      <c r="F82" s="204"/>
      <c r="G82" s="22" t="s">
        <v>4631</v>
      </c>
      <c r="H82" s="238" t="s">
        <v>4916</v>
      </c>
      <c r="I82" s="94"/>
      <c r="J82" s="206" t="s">
        <v>4979</v>
      </c>
      <c r="K82" s="195">
        <f>SUM(K75:K80)</f>
        <v>872</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1078</v>
      </c>
      <c r="AN82" s="115">
        <f t="shared" si="10"/>
        <v>-539000000</v>
      </c>
      <c r="AO82" s="20"/>
      <c r="AP82" t="s">
        <v>25</v>
      </c>
      <c r="AV82"/>
      <c r="AX82" t="s">
        <v>25</v>
      </c>
    </row>
    <row r="83" spans="4:53" ht="30">
      <c r="D83" s="31" t="s">
        <v>310</v>
      </c>
      <c r="E83" s="1">
        <v>200000</v>
      </c>
      <c r="F83" t="s">
        <v>4652</v>
      </c>
      <c r="H83" s="120"/>
      <c r="J83" s="32"/>
      <c r="K83" s="205">
        <v>0</v>
      </c>
      <c r="L83" s="39">
        <f>10*P56</f>
        <v>11860000</v>
      </c>
      <c r="M83" s="1">
        <f>K83*L83</f>
        <v>0</v>
      </c>
      <c r="N83" s="111">
        <f>SUM(N75:N81)-M83</f>
        <v>-3999451</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1076</v>
      </c>
      <c r="AN83" s="115">
        <f t="shared" si="10"/>
        <v>-6708182120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1200</v>
      </c>
      <c r="U84" s="166"/>
      <c r="V84" s="166"/>
      <c r="W84" s="71"/>
      <c r="X84" s="32"/>
      <c r="Y84" s="32"/>
      <c r="AC84" s="113"/>
      <c r="AD84" s="126"/>
      <c r="AE84" s="113"/>
      <c r="AF84" s="113"/>
      <c r="AG84" s="113"/>
      <c r="AI84" s="20">
        <v>64</v>
      </c>
      <c r="AJ84" s="115" t="s">
        <v>4365</v>
      </c>
      <c r="AK84" s="115">
        <v>1950957</v>
      </c>
      <c r="AL84" s="20">
        <v>4</v>
      </c>
      <c r="AM84" s="97">
        <f t="shared" si="37"/>
        <v>1073</v>
      </c>
      <c r="AN84" s="115">
        <f t="shared" si="10"/>
        <v>2093376861</v>
      </c>
      <c r="AO84" s="20"/>
      <c r="BA84" t="s">
        <v>25</v>
      </c>
    </row>
    <row r="85" spans="4:53">
      <c r="D85" s="32" t="s">
        <v>312</v>
      </c>
      <c r="E85" s="1">
        <v>200000</v>
      </c>
      <c r="F85" t="s">
        <v>4707</v>
      </c>
      <c r="J85" s="489" t="s">
        <v>4596</v>
      </c>
      <c r="K85" s="490"/>
      <c r="L85" s="1"/>
      <c r="M85" s="1"/>
      <c r="N85" s="111"/>
      <c r="R85" s="167">
        <v>863944</v>
      </c>
      <c r="S85" s="166" t="s">
        <v>4394</v>
      </c>
      <c r="T85" s="166">
        <f>T84-62</f>
        <v>1138</v>
      </c>
      <c r="U85" s="188" t="s">
        <v>4453</v>
      </c>
      <c r="V85" s="166">
        <v>184.6</v>
      </c>
      <c r="W85" s="166">
        <f t="shared" ref="W85:W102" si="41">V85*(1+$S$111+$R$15*T85/36500)</f>
        <v>348.55919123287669</v>
      </c>
      <c r="X85" s="32">
        <f t="shared" ref="X85:X92" si="42">W85*(1+$X$19/100)</f>
        <v>355.53037505753423</v>
      </c>
      <c r="Y85" s="32">
        <f t="shared" ref="Y85:Y92" si="43">W85*(1+$Y$19/100)</f>
        <v>362.50155888219177</v>
      </c>
      <c r="Z85" s="94">
        <v>4661</v>
      </c>
      <c r="AB85" s="113"/>
      <c r="AC85" s="113"/>
      <c r="AD85" s="126"/>
      <c r="AE85" s="113"/>
      <c r="AF85" s="113"/>
      <c r="AG85" s="113"/>
      <c r="AI85" s="20">
        <v>65</v>
      </c>
      <c r="AJ85" s="115" t="s">
        <v>4388</v>
      </c>
      <c r="AK85" s="115">
        <v>600000</v>
      </c>
      <c r="AL85" s="20">
        <v>5</v>
      </c>
      <c r="AM85" s="97">
        <f t="shared" si="37"/>
        <v>1069</v>
      </c>
      <c r="AN85" s="115">
        <f t="shared" si="10"/>
        <v>641400000</v>
      </c>
      <c r="AO85" s="20"/>
    </row>
    <row r="86" spans="4:53">
      <c r="D86" s="32" t="s">
        <v>313</v>
      </c>
      <c r="E86" s="1">
        <v>20000</v>
      </c>
      <c r="F86" t="s">
        <v>4708</v>
      </c>
      <c r="R86" s="167">
        <v>1692313</v>
      </c>
      <c r="S86" s="166" t="s">
        <v>4456</v>
      </c>
      <c r="T86" s="193">
        <f>T85-21</f>
        <v>1117</v>
      </c>
      <c r="U86" s="187" t="s">
        <v>4457</v>
      </c>
      <c r="V86" s="166">
        <v>168.5</v>
      </c>
      <c r="W86" s="166">
        <f t="shared" si="41"/>
        <v>315.44492602739729</v>
      </c>
      <c r="X86" s="32">
        <f t="shared" si="42"/>
        <v>321.75382454794521</v>
      </c>
      <c r="Y86" s="32">
        <f t="shared" si="43"/>
        <v>328.0627230684932</v>
      </c>
      <c r="Z86" s="94">
        <v>10000</v>
      </c>
      <c r="AB86" s="113"/>
      <c r="AC86" s="113"/>
      <c r="AD86" s="126"/>
      <c r="AE86" s="113"/>
      <c r="AF86" s="113"/>
      <c r="AG86" s="113"/>
      <c r="AI86" s="20">
        <v>66</v>
      </c>
      <c r="AJ86" s="115" t="s">
        <v>4396</v>
      </c>
      <c r="AK86" s="115">
        <v>7500000</v>
      </c>
      <c r="AL86" s="20">
        <v>2</v>
      </c>
      <c r="AM86" s="97">
        <f t="shared" si="37"/>
        <v>1064</v>
      </c>
      <c r="AN86" s="115">
        <f t="shared" si="10"/>
        <v>7980000000</v>
      </c>
      <c r="AO86" s="20"/>
      <c r="AT86" s="94"/>
    </row>
    <row r="87" spans="4:53" ht="26.25">
      <c r="D87" s="32" t="s">
        <v>315</v>
      </c>
      <c r="E87" s="1">
        <v>50000</v>
      </c>
      <c r="F87" t="s">
        <v>4709</v>
      </c>
      <c r="H87" s="235"/>
      <c r="R87" s="167">
        <v>101153</v>
      </c>
      <c r="S87" s="166" t="s">
        <v>4459</v>
      </c>
      <c r="T87" s="193">
        <f>T86-1</f>
        <v>1116</v>
      </c>
      <c r="U87" s="187" t="s">
        <v>4461</v>
      </c>
      <c r="V87" s="166">
        <v>166.7</v>
      </c>
      <c r="W87" s="166">
        <f t="shared" si="41"/>
        <v>311.94730849315067</v>
      </c>
      <c r="X87" s="32">
        <f t="shared" si="42"/>
        <v>318.1862546630137</v>
      </c>
      <c r="Y87" s="32">
        <f t="shared" si="43"/>
        <v>324.42520083287673</v>
      </c>
      <c r="Z87" s="94">
        <v>604</v>
      </c>
      <c r="AB87" s="120" t="s">
        <v>25</v>
      </c>
      <c r="AC87" s="113"/>
      <c r="AD87" s="126"/>
      <c r="AE87" s="113"/>
      <c r="AF87" s="113"/>
      <c r="AG87" s="113"/>
      <c r="AI87" s="20">
        <v>67</v>
      </c>
      <c r="AJ87" s="115" t="s">
        <v>4400</v>
      </c>
      <c r="AK87" s="115">
        <v>-587816</v>
      </c>
      <c r="AL87" s="20">
        <v>3</v>
      </c>
      <c r="AM87" s="97">
        <f t="shared" si="37"/>
        <v>1062</v>
      </c>
      <c r="AN87" s="115">
        <f t="shared" si="10"/>
        <v>-624260592</v>
      </c>
      <c r="AO87" s="20"/>
      <c r="AT87" s="94"/>
    </row>
    <row r="88" spans="4:53">
      <c r="D88" s="32" t="s">
        <v>316</v>
      </c>
      <c r="E88" s="1">
        <v>90000</v>
      </c>
      <c r="F88" t="s">
        <v>4479</v>
      </c>
      <c r="R88" s="167">
        <v>183105</v>
      </c>
      <c r="S88" s="166" t="s">
        <v>4204</v>
      </c>
      <c r="T88" s="193">
        <f>T87-1</f>
        <v>1115</v>
      </c>
      <c r="U88" s="187" t="s">
        <v>4465</v>
      </c>
      <c r="V88" s="166">
        <v>166.6</v>
      </c>
      <c r="W88" s="166">
        <f t="shared" si="41"/>
        <v>311.63237479452056</v>
      </c>
      <c r="X88" s="32">
        <f t="shared" si="42"/>
        <v>317.86502229041099</v>
      </c>
      <c r="Y88" s="32">
        <f t="shared" si="43"/>
        <v>324.09766978630137</v>
      </c>
      <c r="Z88" s="94">
        <v>1094</v>
      </c>
      <c r="AB88" s="113" t="s">
        <v>25</v>
      </c>
      <c r="AC88" s="113"/>
      <c r="AD88" s="126"/>
      <c r="AE88" s="113"/>
      <c r="AF88" s="113"/>
      <c r="AG88" s="113"/>
      <c r="AI88" s="20">
        <v>68</v>
      </c>
      <c r="AJ88" s="115" t="s">
        <v>4399</v>
      </c>
      <c r="AK88" s="115">
        <v>-907489</v>
      </c>
      <c r="AL88" s="20">
        <v>0</v>
      </c>
      <c r="AM88" s="97">
        <f>AM89+AL88</f>
        <v>1059</v>
      </c>
      <c r="AN88" s="115">
        <f t="shared" si="10"/>
        <v>-961030851</v>
      </c>
      <c r="AO88" s="20"/>
      <c r="AQ88" t="s">
        <v>25</v>
      </c>
      <c r="AW88" t="s">
        <v>25</v>
      </c>
    </row>
    <row r="89" spans="4:53">
      <c r="D89" s="32" t="s">
        <v>317</v>
      </c>
      <c r="E89" s="1">
        <v>50000</v>
      </c>
      <c r="F89" t="s">
        <v>4520</v>
      </c>
      <c r="H89" s="240" t="s">
        <v>4921</v>
      </c>
      <c r="R89" s="167">
        <v>168846</v>
      </c>
      <c r="S89" s="166" t="s">
        <v>3673</v>
      </c>
      <c r="T89" s="193">
        <f>T88-30</f>
        <v>1085</v>
      </c>
      <c r="U89" s="187" t="s">
        <v>4547</v>
      </c>
      <c r="V89" s="166">
        <v>172.2</v>
      </c>
      <c r="W89" s="166">
        <f t="shared" si="41"/>
        <v>318.14445369863012</v>
      </c>
      <c r="X89" s="32">
        <f t="shared" si="42"/>
        <v>324.50734277260273</v>
      </c>
      <c r="Y89" s="32">
        <f t="shared" si="43"/>
        <v>330.87023184657534</v>
      </c>
      <c r="Z89" s="94">
        <v>976</v>
      </c>
      <c r="AB89" s="113"/>
      <c r="AD89" s="113" t="s">
        <v>25</v>
      </c>
      <c r="AE89" s="113"/>
      <c r="AF89" s="113"/>
      <c r="AG89" s="113"/>
      <c r="AH89" s="113"/>
      <c r="AI89" s="20">
        <v>69</v>
      </c>
      <c r="AJ89" s="115" t="s">
        <v>4399</v>
      </c>
      <c r="AK89" s="115">
        <v>2450000</v>
      </c>
      <c r="AL89" s="20">
        <v>1</v>
      </c>
      <c r="AM89" s="97">
        <f t="shared" si="37"/>
        <v>1059</v>
      </c>
      <c r="AN89" s="115">
        <f t="shared" si="10"/>
        <v>2594550000</v>
      </c>
      <c r="AO89" s="20" t="s">
        <v>4428</v>
      </c>
      <c r="AR89" t="s">
        <v>25</v>
      </c>
      <c r="AS89" t="s">
        <v>25</v>
      </c>
    </row>
    <row r="90" spans="4:53">
      <c r="D90" s="32" t="s">
        <v>327</v>
      </c>
      <c r="E90" s="1">
        <v>150000</v>
      </c>
      <c r="F90" t="s">
        <v>4478</v>
      </c>
      <c r="H90" s="240" t="s">
        <v>4922</v>
      </c>
      <c r="R90" s="167">
        <v>19918023</v>
      </c>
      <c r="S90" s="5" t="s">
        <v>4766</v>
      </c>
      <c r="T90" s="193">
        <f>T89-75</f>
        <v>1010</v>
      </c>
      <c r="U90" s="187" t="s">
        <v>4768</v>
      </c>
      <c r="V90" s="205">
        <v>183</v>
      </c>
      <c r="W90" s="205">
        <f t="shared" si="41"/>
        <v>327.56899726027399</v>
      </c>
      <c r="X90" s="32">
        <f t="shared" si="42"/>
        <v>334.12037720547949</v>
      </c>
      <c r="Y90" s="32">
        <f t="shared" si="43"/>
        <v>340.67175715068498</v>
      </c>
      <c r="Z90" s="94">
        <v>108344</v>
      </c>
      <c r="AA90" s="113"/>
      <c r="AB90" s="113"/>
      <c r="AD90" s="113"/>
      <c r="AE90" s="113"/>
      <c r="AF90"/>
      <c r="AH90" s="113"/>
      <c r="AI90" s="20">
        <v>70</v>
      </c>
      <c r="AJ90" s="115" t="s">
        <v>4430</v>
      </c>
      <c r="AK90" s="115">
        <v>1500000</v>
      </c>
      <c r="AL90" s="20">
        <v>1</v>
      </c>
      <c r="AM90" s="97">
        <f t="shared" si="37"/>
        <v>1058</v>
      </c>
      <c r="AN90" s="115">
        <f t="shared" si="10"/>
        <v>1587000000</v>
      </c>
      <c r="AO90" s="20"/>
      <c r="AQ90" t="s">
        <v>25</v>
      </c>
      <c r="AV90" s="94" t="s">
        <v>25</v>
      </c>
    </row>
    <row r="91" spans="4:53">
      <c r="D91" s="32" t="s">
        <v>318</v>
      </c>
      <c r="E91" s="1">
        <v>15000</v>
      </c>
      <c r="F91" s="22" t="s">
        <v>4216</v>
      </c>
      <c r="R91" s="167">
        <v>1200301</v>
      </c>
      <c r="S91" s="19" t="s">
        <v>4843</v>
      </c>
      <c r="T91" s="193">
        <f>T90-34</f>
        <v>976</v>
      </c>
      <c r="U91" s="187" t="s">
        <v>4845</v>
      </c>
      <c r="V91" s="205">
        <v>218.5</v>
      </c>
      <c r="W91" s="205">
        <f t="shared" si="41"/>
        <v>385.41484383561641</v>
      </c>
      <c r="X91" s="32">
        <f t="shared" si="42"/>
        <v>393.12314071232873</v>
      </c>
      <c r="Y91" s="32">
        <f t="shared" si="43"/>
        <v>400.83143758904106</v>
      </c>
      <c r="Z91" s="94">
        <v>5468</v>
      </c>
      <c r="AA91" s="113"/>
      <c r="AB91" s="113"/>
      <c r="AF91"/>
      <c r="AH91" s="94"/>
      <c r="AI91" s="20">
        <v>71</v>
      </c>
      <c r="AJ91" s="115" t="s">
        <v>4436</v>
      </c>
      <c r="AK91" s="115">
        <v>2648000</v>
      </c>
      <c r="AL91" s="20">
        <v>1</v>
      </c>
      <c r="AM91" s="97">
        <f t="shared" si="37"/>
        <v>1057</v>
      </c>
      <c r="AN91" s="115">
        <f t="shared" si="10"/>
        <v>2798936000</v>
      </c>
      <c r="AO91" s="20" t="s">
        <v>4437</v>
      </c>
      <c r="AV91" s="94" t="s">
        <v>25</v>
      </c>
    </row>
    <row r="92" spans="4:53">
      <c r="D92" s="32" t="s">
        <v>319</v>
      </c>
      <c r="E92" s="1">
        <v>20000</v>
      </c>
      <c r="F92" t="s">
        <v>4475</v>
      </c>
      <c r="R92" s="167">
        <v>5837196.2537021004</v>
      </c>
      <c r="S92" s="19" t="s">
        <v>4867</v>
      </c>
      <c r="T92" s="193">
        <f>T91-16</f>
        <v>960</v>
      </c>
      <c r="U92" s="187" t="s">
        <v>5589</v>
      </c>
      <c r="V92" s="205">
        <v>196.2</v>
      </c>
      <c r="W92" s="205">
        <f t="shared" si="41"/>
        <v>343.67144547945202</v>
      </c>
      <c r="X92" s="32">
        <f t="shared" si="42"/>
        <v>350.54487438904107</v>
      </c>
      <c r="Y92" s="32">
        <f t="shared" si="43"/>
        <v>357.41830329863012</v>
      </c>
      <c r="Z92" s="94">
        <v>29619</v>
      </c>
      <c r="AA92" s="113"/>
      <c r="AB92" s="113"/>
      <c r="AF92"/>
      <c r="AH92" s="94"/>
      <c r="AI92" s="20">
        <v>72</v>
      </c>
      <c r="AJ92" s="115" t="s">
        <v>4205</v>
      </c>
      <c r="AK92" s="115">
        <v>615000</v>
      </c>
      <c r="AL92" s="20">
        <v>4</v>
      </c>
      <c r="AM92" s="97">
        <f t="shared" si="37"/>
        <v>1056</v>
      </c>
      <c r="AN92" s="115">
        <f t="shared" si="10"/>
        <v>649440000</v>
      </c>
      <c r="AO92" s="20"/>
      <c r="AW92" t="s">
        <v>25</v>
      </c>
    </row>
    <row r="93" spans="4:53" ht="18.75">
      <c r="D93" s="32" t="s">
        <v>320</v>
      </c>
      <c r="E93" s="1">
        <v>40000</v>
      </c>
      <c r="F93" t="s">
        <v>4268</v>
      </c>
      <c r="H93" s="280" t="s">
        <v>7079</v>
      </c>
      <c r="R93" s="167">
        <v>2948152</v>
      </c>
      <c r="S93" s="19" t="s">
        <v>5624</v>
      </c>
      <c r="T93" s="193">
        <f>T92-498</f>
        <v>462</v>
      </c>
      <c r="U93" s="187" t="s">
        <v>5625</v>
      </c>
      <c r="V93" s="205">
        <v>1550</v>
      </c>
      <c r="W93" s="205">
        <f t="shared" si="41"/>
        <v>2122.8969863013699</v>
      </c>
      <c r="X93" s="32">
        <f t="shared" ref="X93:X99" si="44">W93*(1+$X$19/100)</f>
        <v>2165.3549260273971</v>
      </c>
      <c r="Y93" s="32">
        <f t="shared" ref="Y93:Y99" si="45">W93*(1+$Y$19/100)</f>
        <v>2207.8128657534248</v>
      </c>
      <c r="Z93" s="94">
        <v>1895</v>
      </c>
      <c r="AF93"/>
      <c r="AH93" s="94"/>
      <c r="AI93" s="20">
        <v>73</v>
      </c>
      <c r="AJ93" s="115" t="s">
        <v>4447</v>
      </c>
      <c r="AK93" s="115">
        <v>14000000</v>
      </c>
      <c r="AL93" s="20">
        <v>2</v>
      </c>
      <c r="AM93" s="97">
        <f>AM94+AL93</f>
        <v>1052</v>
      </c>
      <c r="AN93" s="115">
        <f t="shared" si="10"/>
        <v>14728000000</v>
      </c>
      <c r="AO93" s="20"/>
    </row>
    <row r="94" spans="4:53">
      <c r="D94" s="32" t="s">
        <v>322</v>
      </c>
      <c r="E94" s="1">
        <v>150000</v>
      </c>
      <c r="F94" s="94"/>
      <c r="G94" s="94"/>
      <c r="H94" s="94"/>
      <c r="I94" s="94" t="s">
        <v>25</v>
      </c>
      <c r="R94" s="167"/>
      <c r="S94" s="19" t="s">
        <v>5720</v>
      </c>
      <c r="T94" s="193">
        <f>T93-83</f>
        <v>379</v>
      </c>
      <c r="U94" s="187" t="s">
        <v>5721</v>
      </c>
      <c r="V94" s="205">
        <v>1275</v>
      </c>
      <c r="W94" s="205">
        <f t="shared" si="41"/>
        <v>1665.0731506849315</v>
      </c>
      <c r="X94" s="32">
        <f t="shared" si="44"/>
        <v>1698.3746136986301</v>
      </c>
      <c r="Y94" s="32">
        <f t="shared" si="45"/>
        <v>1731.6760767123289</v>
      </c>
      <c r="Z94" s="94">
        <v>48654</v>
      </c>
      <c r="AI94" s="20">
        <v>74</v>
      </c>
      <c r="AJ94" s="115" t="s">
        <v>4451</v>
      </c>
      <c r="AK94" s="115">
        <v>1313000</v>
      </c>
      <c r="AL94" s="20">
        <v>0</v>
      </c>
      <c r="AM94" s="97">
        <f>AM95+AL94</f>
        <v>1050</v>
      </c>
      <c r="AN94" s="115">
        <f t="shared" si="10"/>
        <v>1378650000</v>
      </c>
      <c r="AO94" s="20"/>
      <c r="AR94" t="s">
        <v>25</v>
      </c>
    </row>
    <row r="95" spans="4:53">
      <c r="D95" s="32" t="s">
        <v>324</v>
      </c>
      <c r="E95" s="1">
        <v>75000</v>
      </c>
      <c r="F95" s="94"/>
      <c r="G95" s="94"/>
      <c r="H95" s="94"/>
      <c r="I95" s="94"/>
      <c r="R95" s="167"/>
      <c r="S95" s="19" t="s">
        <v>5728</v>
      </c>
      <c r="T95" s="193">
        <f>T94-5</f>
        <v>374</v>
      </c>
      <c r="U95" s="187" t="s">
        <v>5729</v>
      </c>
      <c r="V95" s="205">
        <v>1210</v>
      </c>
      <c r="W95" s="205">
        <f t="shared" si="41"/>
        <v>1575.54597260274</v>
      </c>
      <c r="X95" s="32">
        <f t="shared" si="44"/>
        <v>1607.0568920547948</v>
      </c>
      <c r="Y95" s="32">
        <f t="shared" si="45"/>
        <v>1638.5678115068497</v>
      </c>
      <c r="Z95" s="94">
        <v>450</v>
      </c>
      <c r="AA95" s="94"/>
      <c r="AB95" s="94"/>
      <c r="AI95" s="97">
        <v>75</v>
      </c>
      <c r="AJ95" s="111" t="s">
        <v>4451</v>
      </c>
      <c r="AK95" s="111">
        <v>2269000</v>
      </c>
      <c r="AL95" s="97">
        <v>1</v>
      </c>
      <c r="AM95" s="97">
        <f t="shared" ref="AM95:AM120" si="46">AM96+AL95</f>
        <v>1050</v>
      </c>
      <c r="AN95" s="115">
        <f t="shared" si="10"/>
        <v>2382450000</v>
      </c>
      <c r="AO95" s="97"/>
    </row>
    <row r="96" spans="4:53">
      <c r="D96" s="32" t="s">
        <v>314</v>
      </c>
      <c r="E96" s="1">
        <v>140000</v>
      </c>
      <c r="F96" s="94"/>
      <c r="G96" s="94"/>
      <c r="H96" s="94"/>
      <c r="I96" s="94" t="s">
        <v>25</v>
      </c>
      <c r="R96" s="167"/>
      <c r="S96" s="19" t="s">
        <v>5734</v>
      </c>
      <c r="T96" s="193">
        <f>T95-4</f>
        <v>370</v>
      </c>
      <c r="U96" s="187" t="s">
        <v>5735</v>
      </c>
      <c r="V96" s="205">
        <v>1175</v>
      </c>
      <c r="W96" s="205">
        <f t="shared" si="41"/>
        <v>1526.3668493150687</v>
      </c>
      <c r="X96" s="32">
        <f t="shared" si="44"/>
        <v>1556.8941863013702</v>
      </c>
      <c r="Y96" s="32">
        <f t="shared" si="45"/>
        <v>1587.4215232876716</v>
      </c>
      <c r="Z96" s="94">
        <v>27754</v>
      </c>
      <c r="AA96" s="94"/>
      <c r="AB96" s="94"/>
      <c r="AI96" s="97">
        <v>76</v>
      </c>
      <c r="AJ96" s="111" t="s">
        <v>4206</v>
      </c>
      <c r="AK96" s="111">
        <v>750000</v>
      </c>
      <c r="AL96" s="97">
        <v>4</v>
      </c>
      <c r="AM96" s="97">
        <f t="shared" si="46"/>
        <v>1049</v>
      </c>
      <c r="AN96" s="115">
        <f t="shared" si="10"/>
        <v>786750000</v>
      </c>
      <c r="AO96" s="97"/>
      <c r="AR96" t="s">
        <v>25</v>
      </c>
    </row>
    <row r="97" spans="4:48">
      <c r="D97" s="2" t="s">
        <v>476</v>
      </c>
      <c r="E97" s="3">
        <v>1083333</v>
      </c>
      <c r="F97" s="341"/>
      <c r="G97" s="341"/>
      <c r="H97" s="341"/>
      <c r="I97" s="341"/>
      <c r="R97" s="167"/>
      <c r="S97" s="19" t="s">
        <v>5736</v>
      </c>
      <c r="T97" s="193">
        <f>T96-3</f>
        <v>367</v>
      </c>
      <c r="U97" s="187" t="s">
        <v>5737</v>
      </c>
      <c r="V97" s="205">
        <v>1148</v>
      </c>
      <c r="W97" s="205">
        <f t="shared" si="41"/>
        <v>1488.6509150684933</v>
      </c>
      <c r="X97" s="32">
        <f t="shared" si="44"/>
        <v>1518.4239333698631</v>
      </c>
      <c r="Y97" s="32">
        <f t="shared" si="45"/>
        <v>1548.1969516712331</v>
      </c>
      <c r="Z97" s="94">
        <v>8020</v>
      </c>
      <c r="AA97" s="94"/>
      <c r="AB97" s="94"/>
      <c r="AI97" s="97">
        <v>77</v>
      </c>
      <c r="AJ97" s="111" t="s">
        <v>4456</v>
      </c>
      <c r="AK97" s="111">
        <v>1900000</v>
      </c>
      <c r="AL97" s="97">
        <v>3</v>
      </c>
      <c r="AM97" s="97">
        <f t="shared" si="46"/>
        <v>1045</v>
      </c>
      <c r="AN97" s="115">
        <f t="shared" si="10"/>
        <v>1985500000</v>
      </c>
      <c r="AO97" s="97"/>
    </row>
    <row r="98" spans="4:48">
      <c r="D98" s="2"/>
      <c r="E98" s="3"/>
      <c r="F98" s="94"/>
      <c r="G98" s="94"/>
      <c r="H98" s="94"/>
      <c r="I98" s="94"/>
      <c r="R98" s="167"/>
      <c r="S98" s="19" t="s">
        <v>5740</v>
      </c>
      <c r="T98" s="193">
        <f>T97-1</f>
        <v>366</v>
      </c>
      <c r="U98" s="187" t="s">
        <v>5741</v>
      </c>
      <c r="V98" s="205">
        <v>1141</v>
      </c>
      <c r="W98" s="205">
        <f t="shared" si="41"/>
        <v>1478.6984876712329</v>
      </c>
      <c r="X98" s="32">
        <f t="shared" si="44"/>
        <v>1508.2724574246577</v>
      </c>
      <c r="Y98" s="32">
        <f t="shared" si="45"/>
        <v>1537.8464271780822</v>
      </c>
      <c r="Z98" s="94">
        <v>3695</v>
      </c>
      <c r="AA98" s="94"/>
      <c r="AB98" s="94"/>
      <c r="AI98" s="97">
        <v>78</v>
      </c>
      <c r="AJ98" s="111" t="s">
        <v>4469</v>
      </c>
      <c r="AK98" s="111">
        <v>6400000</v>
      </c>
      <c r="AL98" s="97">
        <v>1</v>
      </c>
      <c r="AM98" s="97">
        <f t="shared" si="46"/>
        <v>1042</v>
      </c>
      <c r="AN98" s="115">
        <f t="shared" si="10"/>
        <v>6668800000</v>
      </c>
      <c r="AO98" s="97"/>
    </row>
    <row r="99" spans="4:48">
      <c r="D99" s="2"/>
      <c r="E99" s="3"/>
      <c r="F99" s="469"/>
      <c r="G99" s="469"/>
      <c r="H99" s="469"/>
      <c r="I99" s="469"/>
      <c r="R99" s="167"/>
      <c r="S99" s="19" t="s">
        <v>5738</v>
      </c>
      <c r="T99" s="193">
        <f>T98-1</f>
        <v>365</v>
      </c>
      <c r="U99" s="187" t="s">
        <v>7035</v>
      </c>
      <c r="V99" s="205">
        <v>1171</v>
      </c>
      <c r="W99" s="205">
        <f t="shared" si="41"/>
        <v>1516.6792000000003</v>
      </c>
      <c r="X99" s="32">
        <f t="shared" si="44"/>
        <v>1547.0127840000002</v>
      </c>
      <c r="Y99" s="32">
        <f t="shared" si="45"/>
        <v>1577.3463680000004</v>
      </c>
      <c r="Z99" s="94">
        <v>54223</v>
      </c>
      <c r="AI99" s="97">
        <v>79</v>
      </c>
      <c r="AJ99" s="111" t="s">
        <v>4467</v>
      </c>
      <c r="AK99" s="111">
        <v>5000</v>
      </c>
      <c r="AL99" s="97">
        <v>5</v>
      </c>
      <c r="AM99" s="97">
        <f t="shared" si="46"/>
        <v>1041</v>
      </c>
      <c r="AN99" s="115">
        <f t="shared" si="10"/>
        <v>5205000</v>
      </c>
      <c r="AO99" s="97"/>
      <c r="AQ99" t="s">
        <v>25</v>
      </c>
    </row>
    <row r="100" spans="4:48">
      <c r="D100" s="2" t="s">
        <v>6</v>
      </c>
      <c r="E100" s="3">
        <f>SUM(E77:E98)</f>
        <v>3383333</v>
      </c>
      <c r="F100" s="469"/>
      <c r="G100" s="469"/>
      <c r="H100" s="469"/>
      <c r="I100" s="469"/>
      <c r="R100" s="167"/>
      <c r="S100" s="19" t="s">
        <v>5798</v>
      </c>
      <c r="T100" s="193">
        <f>T99-65</f>
        <v>300</v>
      </c>
      <c r="U100" s="187" t="s">
        <v>5799</v>
      </c>
      <c r="V100" s="205">
        <v>1255.0999999999999</v>
      </c>
      <c r="W100" s="205">
        <f t="shared" si="41"/>
        <v>1563.0224515068492</v>
      </c>
      <c r="X100" s="32">
        <f t="shared" ref="X100:X106" si="47">W100*(1+$X$19/100)</f>
        <v>1594.2829005369863</v>
      </c>
      <c r="Y100" s="32">
        <f t="shared" ref="Y100:Y106" si="48">W100*(1+$Y$19/100)</f>
        <v>1625.5433495671232</v>
      </c>
      <c r="Z100" s="94"/>
      <c r="AA100" s="94">
        <v>26860</v>
      </c>
      <c r="AB100" s="94">
        <f>AA100*3</f>
        <v>80580</v>
      </c>
      <c r="AI100" s="97">
        <v>80</v>
      </c>
      <c r="AJ100" s="111" t="s">
        <v>4495</v>
      </c>
      <c r="AK100" s="111">
        <v>-1750148</v>
      </c>
      <c r="AL100" s="97">
        <v>1</v>
      </c>
      <c r="AM100" s="97">
        <f t="shared" si="46"/>
        <v>1036</v>
      </c>
      <c r="AN100" s="115">
        <f t="shared" si="10"/>
        <v>-1813153328</v>
      </c>
      <c r="AO100" s="97"/>
    </row>
    <row r="101" spans="4:48">
      <c r="D101" s="2" t="s">
        <v>328</v>
      </c>
      <c r="E101" s="3">
        <f>E100/30</f>
        <v>112777.76666666666</v>
      </c>
      <c r="F101" s="469"/>
      <c r="G101" s="469"/>
      <c r="H101" s="469"/>
      <c r="I101" s="469"/>
      <c r="R101" s="167"/>
      <c r="S101" s="19" t="s">
        <v>7061</v>
      </c>
      <c r="T101" s="193">
        <f>T115-1169</f>
        <v>31</v>
      </c>
      <c r="U101" s="187" t="s">
        <v>7064</v>
      </c>
      <c r="V101" s="205">
        <v>436.6</v>
      </c>
      <c r="W101" s="205">
        <f t="shared" si="41"/>
        <v>453.61902684931511</v>
      </c>
      <c r="X101" s="32">
        <f t="shared" si="47"/>
        <v>462.69140738630142</v>
      </c>
      <c r="Y101" s="32">
        <f t="shared" si="48"/>
        <v>471.76378792328774</v>
      </c>
      <c r="Z101" s="463"/>
      <c r="AA101" s="463"/>
      <c r="AB101" s="463">
        <v>2217</v>
      </c>
      <c r="AI101" s="97">
        <v>81</v>
      </c>
      <c r="AJ101" s="111" t="s">
        <v>4498</v>
      </c>
      <c r="AK101" s="111">
        <v>400000</v>
      </c>
      <c r="AL101" s="97">
        <v>0</v>
      </c>
      <c r="AM101" s="97">
        <f t="shared" si="46"/>
        <v>1035</v>
      </c>
      <c r="AN101" s="115">
        <f t="shared" si="10"/>
        <v>414000000</v>
      </c>
      <c r="AO101" s="97"/>
    </row>
    <row r="102" spans="4:48">
      <c r="F102" s="94"/>
      <c r="G102" s="94"/>
      <c r="H102" s="94"/>
      <c r="I102" s="94"/>
      <c r="R102" s="167"/>
      <c r="S102" s="19" t="s">
        <v>7061</v>
      </c>
      <c r="T102" s="193">
        <f>T115-1169</f>
        <v>31</v>
      </c>
      <c r="U102" s="187" t="s">
        <v>7065</v>
      </c>
      <c r="V102" s="205">
        <v>1396</v>
      </c>
      <c r="W102" s="205">
        <f t="shared" si="41"/>
        <v>1450.4172273972604</v>
      </c>
      <c r="X102" s="32">
        <f t="shared" si="47"/>
        <v>1479.4255719452055</v>
      </c>
      <c r="Y102" s="32">
        <f t="shared" si="48"/>
        <v>1508.4339164931509</v>
      </c>
      <c r="Z102" s="463">
        <v>4518</v>
      </c>
      <c r="AA102" s="463"/>
      <c r="AB102" s="463"/>
      <c r="AI102" s="97">
        <v>82</v>
      </c>
      <c r="AJ102" s="111" t="s">
        <v>4498</v>
      </c>
      <c r="AK102" s="111">
        <v>-2105421</v>
      </c>
      <c r="AL102" s="97">
        <v>1</v>
      </c>
      <c r="AM102" s="97">
        <f t="shared" si="46"/>
        <v>1035</v>
      </c>
      <c r="AN102" s="115">
        <f t="shared" si="10"/>
        <v>-2179110735</v>
      </c>
      <c r="AO102" s="97"/>
      <c r="AP102" t="s">
        <v>25</v>
      </c>
    </row>
    <row r="103" spans="4:48">
      <c r="F103" s="94"/>
      <c r="G103" s="94"/>
      <c r="H103" s="94"/>
      <c r="I103" s="94"/>
      <c r="R103" s="167"/>
      <c r="S103" s="19"/>
      <c r="T103" s="193"/>
      <c r="U103" s="187"/>
      <c r="V103" s="205"/>
      <c r="W103" s="205"/>
      <c r="X103" s="32"/>
      <c r="Y103" s="32"/>
      <c r="Z103" s="463"/>
      <c r="AA103" s="463"/>
      <c r="AB103" s="463"/>
      <c r="AI103" s="97">
        <v>83</v>
      </c>
      <c r="AJ103" s="111" t="s">
        <v>4501</v>
      </c>
      <c r="AK103" s="111">
        <v>-5527618</v>
      </c>
      <c r="AL103" s="97">
        <v>0</v>
      </c>
      <c r="AM103" s="97">
        <f t="shared" si="46"/>
        <v>1034</v>
      </c>
      <c r="AN103" s="115">
        <f t="shared" si="10"/>
        <v>-5715557012</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1034</v>
      </c>
      <c r="AN104" s="115">
        <f t="shared" si="10"/>
        <v>4032600000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1031</v>
      </c>
      <c r="AN105" s="115">
        <f t="shared" si="10"/>
        <v>-4092816374</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1030</v>
      </c>
      <c r="AN106" s="115">
        <f t="shared" si="10"/>
        <v>-26341688650</v>
      </c>
      <c r="AO106" s="97"/>
      <c r="AQ106" t="s">
        <v>25</v>
      </c>
    </row>
    <row r="107" spans="4:48">
      <c r="G107" s="94" t="s">
        <v>25</v>
      </c>
      <c r="H107" s="94"/>
      <c r="I107" s="94"/>
      <c r="J107" s="94"/>
      <c r="R107" s="111">
        <f>SUM(N36:N36)-SUM(R84:R106)</f>
        <v>122969.74629789963</v>
      </c>
      <c r="S107" s="166"/>
      <c r="T107" s="166"/>
      <c r="U107" s="166"/>
      <c r="V107" s="166"/>
      <c r="W107" s="166"/>
      <c r="X107" s="32"/>
      <c r="Y107" s="32"/>
      <c r="AA107" t="s">
        <v>25</v>
      </c>
      <c r="AB107" t="s">
        <v>25</v>
      </c>
      <c r="AI107" s="97">
        <v>87</v>
      </c>
      <c r="AJ107" s="111" t="s">
        <v>4512</v>
      </c>
      <c r="AK107" s="111">
        <v>4000000</v>
      </c>
      <c r="AL107" s="97">
        <v>1</v>
      </c>
      <c r="AM107" s="97">
        <f t="shared" si="46"/>
        <v>1030</v>
      </c>
      <c r="AN107" s="115">
        <f t="shared" si="10"/>
        <v>4120000000</v>
      </c>
      <c r="AO107" s="97"/>
    </row>
    <row r="108" spans="4:48">
      <c r="F108" s="47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1029</v>
      </c>
      <c r="AN108" s="115">
        <f t="shared" si="10"/>
        <v>-5145000000</v>
      </c>
      <c r="AO108" s="97"/>
    </row>
    <row r="109" spans="4:48">
      <c r="F109" s="471"/>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1027</v>
      </c>
      <c r="AN109" s="115">
        <f t="shared" si="10"/>
        <v>10270000000</v>
      </c>
      <c r="AO109" s="97"/>
    </row>
    <row r="110" spans="4:48">
      <c r="F110" s="471"/>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1023</v>
      </c>
      <c r="AN110" s="115">
        <f t="shared" si="10"/>
        <v>-5362501551</v>
      </c>
      <c r="AO110" s="97"/>
    </row>
    <row r="111" spans="4:48">
      <c r="F111" s="471"/>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1023</v>
      </c>
      <c r="AN111" s="115">
        <f t="shared" si="10"/>
        <v>22403700000</v>
      </c>
      <c r="AO111" s="97"/>
      <c r="AQ111" t="s">
        <v>25</v>
      </c>
      <c r="AV111"/>
    </row>
    <row r="112" spans="4:48">
      <c r="F112" s="471"/>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1021</v>
      </c>
      <c r="AN112" s="115">
        <f t="shared" si="10"/>
        <v>-15315000000</v>
      </c>
      <c r="AO112" s="97"/>
      <c r="AP112" t="s">
        <v>25</v>
      </c>
    </row>
    <row r="113" spans="6:47" ht="30">
      <c r="F113" s="471"/>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1021</v>
      </c>
      <c r="AN113" s="115">
        <f t="shared" si="10"/>
        <v>3063000000</v>
      </c>
      <c r="AO113" s="97"/>
    </row>
    <row r="114" spans="6:47">
      <c r="F114" s="471"/>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1020</v>
      </c>
      <c r="AN114" s="115">
        <f t="shared" si="10"/>
        <v>-2145810720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1200</v>
      </c>
      <c r="U115" s="5" t="s">
        <v>5557</v>
      </c>
      <c r="V115" s="166">
        <v>192</v>
      </c>
      <c r="W115" s="97">
        <f t="shared" ref="W115:W155" si="50">V115*(1+$S$111+$R$15*T115/36500)</f>
        <v>371.66360547945209</v>
      </c>
      <c r="X115" s="32">
        <f t="shared" ref="X115" si="51">W115*(1+$X$19/100)</f>
        <v>379.09687758904113</v>
      </c>
      <c r="Y115" s="32">
        <f t="shared" ref="Y115" si="52">W115*(1+$Y$19/100)</f>
        <v>386.53014969863017</v>
      </c>
      <c r="Z115" s="94">
        <v>200000</v>
      </c>
      <c r="AI115" s="97">
        <v>95</v>
      </c>
      <c r="AJ115" s="111" t="s">
        <v>4528</v>
      </c>
      <c r="AK115" s="111">
        <v>220000</v>
      </c>
      <c r="AL115" s="97">
        <v>3</v>
      </c>
      <c r="AM115" s="97">
        <f t="shared" si="46"/>
        <v>1020</v>
      </c>
      <c r="AN115" s="115">
        <f t="shared" si="10"/>
        <v>224400000</v>
      </c>
      <c r="AO115" s="97"/>
      <c r="AS115" s="94"/>
      <c r="AT115" s="94"/>
      <c r="AU115"/>
    </row>
    <row r="116" spans="6:47">
      <c r="F116" s="471"/>
      <c r="G116" s="94"/>
      <c r="H116" s="94"/>
      <c r="I116" s="94"/>
      <c r="J116" s="94"/>
      <c r="K116" s="5" t="s">
        <v>4479</v>
      </c>
      <c r="L116" s="167">
        <v>1100000</v>
      </c>
      <c r="M116" s="167">
        <v>2904000</v>
      </c>
      <c r="N116" s="166">
        <f t="shared" si="49"/>
        <v>164</v>
      </c>
      <c r="R116" s="167">
        <v>433201621</v>
      </c>
      <c r="S116" s="205" t="s">
        <v>5561</v>
      </c>
      <c r="T116" s="205">
        <f>T115-695</f>
        <v>505</v>
      </c>
      <c r="U116" s="205" t="s">
        <v>5568</v>
      </c>
      <c r="V116" s="205">
        <v>1995.5</v>
      </c>
      <c r="W116" s="97">
        <f t="shared" si="50"/>
        <v>2798.8828328767127</v>
      </c>
      <c r="X116" s="32">
        <f t="shared" ref="X116:X117" si="53">W116*(1+$X$19/100)</f>
        <v>2854.8604895342469</v>
      </c>
      <c r="Y116" s="32">
        <f t="shared" ref="Y116:Y117" si="54">W116*(1+$Y$19/100)</f>
        <v>2910.8381461917811</v>
      </c>
      <c r="Z116">
        <v>216287</v>
      </c>
      <c r="AA116" t="s">
        <v>25</v>
      </c>
      <c r="AI116" s="97">
        <v>96</v>
      </c>
      <c r="AJ116" s="111" t="s">
        <v>4537</v>
      </c>
      <c r="AK116" s="111">
        <v>4000000</v>
      </c>
      <c r="AL116" s="97">
        <v>1</v>
      </c>
      <c r="AM116" s="97">
        <f t="shared" si="46"/>
        <v>1017</v>
      </c>
      <c r="AN116" s="115">
        <f t="shared" si="10"/>
        <v>4068000000</v>
      </c>
      <c r="AO116" s="97"/>
    </row>
    <row r="117" spans="6:47">
      <c r="F117" s="471"/>
      <c r="G117" s="94"/>
      <c r="H117" s="94"/>
      <c r="I117" s="94"/>
      <c r="J117" s="94"/>
      <c r="K117" s="54" t="s">
        <v>1068</v>
      </c>
      <c r="L117" s="167">
        <v>1100000</v>
      </c>
      <c r="M117" s="167">
        <v>3400000</v>
      </c>
      <c r="N117" s="166">
        <f t="shared" si="49"/>
        <v>209.09090909090909</v>
      </c>
      <c r="P117" s="112"/>
      <c r="R117" s="167">
        <v>8201348.2384272004</v>
      </c>
      <c r="S117" s="205" t="s">
        <v>5564</v>
      </c>
      <c r="T117" s="205">
        <f>T116-5</f>
        <v>500</v>
      </c>
      <c r="U117" s="205" t="s">
        <v>5617</v>
      </c>
      <c r="V117" s="205">
        <v>1751</v>
      </c>
      <c r="W117" s="97">
        <f t="shared" si="50"/>
        <v>2449.2316383561647</v>
      </c>
      <c r="X117" s="32">
        <f t="shared" si="53"/>
        <v>2498.2162711232882</v>
      </c>
      <c r="Y117" s="32">
        <f t="shared" si="54"/>
        <v>2547.2009038904112</v>
      </c>
      <c r="Z117">
        <v>4667</v>
      </c>
      <c r="AI117" s="97">
        <v>97</v>
      </c>
      <c r="AJ117" s="111" t="s">
        <v>4541</v>
      </c>
      <c r="AK117" s="111">
        <v>-9000000</v>
      </c>
      <c r="AL117" s="97">
        <v>0</v>
      </c>
      <c r="AM117" s="97">
        <f t="shared" si="46"/>
        <v>1016</v>
      </c>
      <c r="AN117" s="115">
        <f t="shared" si="10"/>
        <v>-9144000000</v>
      </c>
      <c r="AO117" s="97"/>
      <c r="AQ117" t="s">
        <v>25</v>
      </c>
    </row>
    <row r="118" spans="6:47">
      <c r="F118" s="471"/>
      <c r="K118" s="223" t="s">
        <v>5345</v>
      </c>
      <c r="P118" t="s">
        <v>25</v>
      </c>
      <c r="R118" s="167">
        <v>106896832</v>
      </c>
      <c r="S118" s="205" t="s">
        <v>5619</v>
      </c>
      <c r="T118" s="205">
        <f>T117-36</f>
        <v>464</v>
      </c>
      <c r="U118" s="205" t="s">
        <v>5620</v>
      </c>
      <c r="V118" s="205">
        <v>1715</v>
      </c>
      <c r="W118" s="97">
        <f t="shared" si="50"/>
        <v>2351.5140273972606</v>
      </c>
      <c r="X118" s="32">
        <f t="shared" ref="X118" si="55">W118*(1+$X$19/100)</f>
        <v>2398.5443079452057</v>
      </c>
      <c r="Y118" s="32">
        <f t="shared" ref="Y118" si="56">W118*(1+$Y$19/100)</f>
        <v>2445.5745884931512</v>
      </c>
      <c r="Z118" s="94">
        <v>62100</v>
      </c>
      <c r="AA118" t="s">
        <v>25</v>
      </c>
      <c r="AI118" s="97">
        <v>98</v>
      </c>
      <c r="AJ118" s="111" t="s">
        <v>4541</v>
      </c>
      <c r="AK118" s="111">
        <v>13900000</v>
      </c>
      <c r="AL118" s="97">
        <v>2</v>
      </c>
      <c r="AM118" s="97">
        <f t="shared" si="46"/>
        <v>1016</v>
      </c>
      <c r="AN118" s="115">
        <f t="shared" si="10"/>
        <v>14122400000</v>
      </c>
      <c r="AO118" s="97"/>
    </row>
    <row r="119" spans="6:47">
      <c r="F119" s="471"/>
      <c r="K119" s="223" t="s">
        <v>4508</v>
      </c>
      <c r="R119" s="167">
        <v>455942528</v>
      </c>
      <c r="S119" s="205" t="s">
        <v>5621</v>
      </c>
      <c r="T119" s="205">
        <f>T118-1</f>
        <v>463</v>
      </c>
      <c r="U119" s="205" t="s">
        <v>5622</v>
      </c>
      <c r="V119" s="205">
        <v>1631</v>
      </c>
      <c r="W119" s="97">
        <f t="shared" si="50"/>
        <v>2235.0866520547947</v>
      </c>
      <c r="X119" s="32">
        <f t="shared" ref="X119:X120" si="57">W119*(1+$X$19/100)</f>
        <v>2279.7883850958906</v>
      </c>
      <c r="Y119" s="32">
        <f t="shared" ref="Y119:Y120" si="58">W119*(1+$Y$19/100)</f>
        <v>2324.4901181369864</v>
      </c>
      <c r="Z119">
        <v>278514</v>
      </c>
      <c r="AB119" t="s">
        <v>25</v>
      </c>
      <c r="AI119" s="97">
        <v>99</v>
      </c>
      <c r="AJ119" s="111" t="s">
        <v>4545</v>
      </c>
      <c r="AK119" s="111">
        <v>-8127577</v>
      </c>
      <c r="AL119" s="97">
        <v>1</v>
      </c>
      <c r="AM119" s="97">
        <f t="shared" si="46"/>
        <v>1014</v>
      </c>
      <c r="AN119" s="115">
        <f t="shared" si="10"/>
        <v>-8241363078</v>
      </c>
      <c r="AO119" s="97"/>
      <c r="AP119" t="s">
        <v>25</v>
      </c>
      <c r="AR119" t="s">
        <v>25</v>
      </c>
    </row>
    <row r="120" spans="6:47">
      <c r="K120" s="223" t="s">
        <v>4509</v>
      </c>
      <c r="R120" s="167">
        <v>834999909.33089697</v>
      </c>
      <c r="S120" s="205" t="s">
        <v>5624</v>
      </c>
      <c r="T120" s="205">
        <f>T119-1</f>
        <v>462</v>
      </c>
      <c r="U120" s="205" t="s">
        <v>5643</v>
      </c>
      <c r="V120" s="205">
        <v>1567.4</v>
      </c>
      <c r="W120" s="97">
        <f t="shared" si="50"/>
        <v>2146.7282169863015</v>
      </c>
      <c r="X120" s="32">
        <f t="shared" si="57"/>
        <v>2189.6627813260275</v>
      </c>
      <c r="Y120" s="32">
        <f t="shared" si="58"/>
        <v>2232.5973456657534</v>
      </c>
      <c r="Z120">
        <v>530747</v>
      </c>
      <c r="AI120" s="97">
        <v>100</v>
      </c>
      <c r="AJ120" s="111" t="s">
        <v>3673</v>
      </c>
      <c r="AK120" s="111">
        <v>15792549</v>
      </c>
      <c r="AL120" s="97">
        <v>3</v>
      </c>
      <c r="AM120" s="97">
        <f t="shared" si="46"/>
        <v>1013</v>
      </c>
      <c r="AN120" s="115">
        <f t="shared" si="10"/>
        <v>15997852137</v>
      </c>
      <c r="AO120" s="97"/>
      <c r="AP120" t="s">
        <v>25</v>
      </c>
      <c r="AQ120" t="s">
        <v>25</v>
      </c>
    </row>
    <row r="121" spans="6:47">
      <c r="P121" s="112"/>
      <c r="R121" s="167"/>
      <c r="S121" s="205" t="s">
        <v>5644</v>
      </c>
      <c r="T121" s="205">
        <f>T120-13</f>
        <v>449</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1010</v>
      </c>
      <c r="AN121" s="115">
        <f t="shared" ref="AN121:AN144" si="62">AK121*AM121</f>
        <v>8888000000</v>
      </c>
      <c r="AO121" s="97"/>
      <c r="AQ121" t="s">
        <v>25</v>
      </c>
    </row>
    <row r="122" spans="6:47" ht="17.25" customHeight="1">
      <c r="R122" s="167" t="s">
        <v>25</v>
      </c>
      <c r="S122" s="205" t="s">
        <v>5646</v>
      </c>
      <c r="T122" s="205">
        <f>T121-1</f>
        <v>448</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1010</v>
      </c>
      <c r="AN122" s="77">
        <f t="shared" si="62"/>
        <v>13202328120</v>
      </c>
      <c r="AO122" s="200" t="s">
        <v>4550</v>
      </c>
    </row>
    <row r="123" spans="6:47">
      <c r="R123" s="167"/>
      <c r="S123" s="205" t="s">
        <v>5648</v>
      </c>
      <c r="T123" s="205">
        <f>T122-1</f>
        <v>447</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1009</v>
      </c>
      <c r="AN123" s="88">
        <f t="shared" si="62"/>
        <v>16877580333</v>
      </c>
      <c r="AO123" s="87" t="s">
        <v>4560</v>
      </c>
    </row>
    <row r="124" spans="6:47">
      <c r="F124" s="94"/>
      <c r="G124" s="32" t="s">
        <v>4216</v>
      </c>
      <c r="H124" s="32"/>
      <c r="I124" s="32" t="s">
        <v>4358</v>
      </c>
      <c r="K124" s="94"/>
      <c r="L124" s="94"/>
      <c r="M124" s="94"/>
      <c r="R124" s="167"/>
      <c r="S124" s="205" t="s">
        <v>5701</v>
      </c>
      <c r="T124" s="205">
        <f>T123-53</f>
        <v>394</v>
      </c>
      <c r="U124" s="205" t="s">
        <v>6944</v>
      </c>
      <c r="V124" s="205">
        <v>1500</v>
      </c>
      <c r="W124" s="97">
        <f t="shared" si="50"/>
        <v>1976.1698630136987</v>
      </c>
      <c r="X124" s="32">
        <f t="shared" ref="X124:X127" si="63">W124*(1+$X$19/100)</f>
        <v>2015.6932602739726</v>
      </c>
      <c r="Y124" s="32">
        <f t="shared" ref="Y124:Y127" si="64">W124*(1+$Y$19/100)</f>
        <v>2055.2166575342467</v>
      </c>
      <c r="Z124" s="94">
        <v>27349</v>
      </c>
      <c r="AA124" s="94"/>
      <c r="AB124" s="94"/>
      <c r="AI124" s="97">
        <v>104</v>
      </c>
      <c r="AJ124" s="111" t="s">
        <v>4553</v>
      </c>
      <c r="AK124" s="111">
        <v>12000000</v>
      </c>
      <c r="AL124" s="97">
        <v>1</v>
      </c>
      <c r="AM124" s="97">
        <f t="shared" si="61"/>
        <v>1009</v>
      </c>
      <c r="AN124" s="115">
        <f t="shared" si="62"/>
        <v>12108000000</v>
      </c>
      <c r="AO124" s="97" t="s">
        <v>4561</v>
      </c>
    </row>
    <row r="125" spans="6:47">
      <c r="F125" s="94"/>
      <c r="G125" s="32">
        <f>O28+O35+O48</f>
        <v>6047394</v>
      </c>
      <c r="H125" s="32" t="s">
        <v>5431</v>
      </c>
      <c r="I125" s="32">
        <f>O52</f>
        <v>0</v>
      </c>
      <c r="J125" s="112"/>
      <c r="K125" s="94"/>
      <c r="L125" s="94"/>
      <c r="M125" s="94"/>
      <c r="R125" s="167"/>
      <c r="S125" s="205" t="s">
        <v>5754</v>
      </c>
      <c r="T125" s="205">
        <f>T124-71</f>
        <v>323</v>
      </c>
      <c r="U125" s="205" t="s">
        <v>5758</v>
      </c>
      <c r="V125" s="205">
        <v>1354.1</v>
      </c>
      <c r="W125" s="97">
        <f t="shared" si="50"/>
        <v>1710.202330958904</v>
      </c>
      <c r="X125" s="32">
        <f t="shared" si="63"/>
        <v>1744.4063775780821</v>
      </c>
      <c r="Y125" s="32">
        <f t="shared" si="64"/>
        <v>1778.6104241972603</v>
      </c>
      <c r="Z125" s="94"/>
      <c r="AA125" s="94">
        <v>22000</v>
      </c>
      <c r="AB125" s="94">
        <f>AA125*3</f>
        <v>66000</v>
      </c>
      <c r="AC125" s="94"/>
      <c r="AI125" s="87">
        <v>105</v>
      </c>
      <c r="AJ125" s="88" t="s">
        <v>4491</v>
      </c>
      <c r="AK125" s="88">
        <v>88697667</v>
      </c>
      <c r="AL125" s="87">
        <v>1</v>
      </c>
      <c r="AM125" s="87">
        <f t="shared" si="61"/>
        <v>1008</v>
      </c>
      <c r="AN125" s="88">
        <f t="shared" si="62"/>
        <v>89407248336</v>
      </c>
      <c r="AO125" s="87" t="s">
        <v>4562</v>
      </c>
      <c r="AQ125" t="s">
        <v>25</v>
      </c>
    </row>
    <row r="126" spans="6:47">
      <c r="F126" s="94"/>
      <c r="G126" s="32">
        <f>(N29+N31+N36+N51+N52+N30+N53+N49)/P48</f>
        <v>1691503.3035168196</v>
      </c>
      <c r="H126" s="274" t="s">
        <v>5432</v>
      </c>
      <c r="I126" s="32">
        <f>(N48+N51+N35+N31+N28+N29+N30+N36+N53+N49)/P52</f>
        <v>532060.61676523532</v>
      </c>
      <c r="J126" s="112"/>
      <c r="K126" s="94"/>
      <c r="L126" s="94" t="s">
        <v>25</v>
      </c>
      <c r="M126" s="94"/>
      <c r="R126" s="167"/>
      <c r="S126" s="205" t="s">
        <v>5759</v>
      </c>
      <c r="T126" s="205">
        <f>T125-8</f>
        <v>315</v>
      </c>
      <c r="U126" s="205" t="s">
        <v>5775</v>
      </c>
      <c r="V126" s="205">
        <v>1266</v>
      </c>
      <c r="W126" s="97">
        <f t="shared" si="50"/>
        <v>1591.164295890411</v>
      </c>
      <c r="X126" s="32">
        <f t="shared" si="63"/>
        <v>1622.9875818082194</v>
      </c>
      <c r="Y126" s="32">
        <f t="shared" si="64"/>
        <v>1654.8108677260275</v>
      </c>
      <c r="Z126" s="94"/>
      <c r="AA126" s="94">
        <v>62174</v>
      </c>
      <c r="AB126" s="462">
        <f t="shared" ref="AB126:AB134" si="65">AA126*3</f>
        <v>186522</v>
      </c>
      <c r="AC126" s="94" t="s">
        <v>25</v>
      </c>
      <c r="AI126" s="97">
        <v>106</v>
      </c>
      <c r="AJ126" s="111" t="s">
        <v>4494</v>
      </c>
      <c r="AK126" s="111">
        <v>101000</v>
      </c>
      <c r="AL126" s="97">
        <v>0</v>
      </c>
      <c r="AM126" s="97">
        <f t="shared" si="61"/>
        <v>1007</v>
      </c>
      <c r="AN126" s="115">
        <f t="shared" si="62"/>
        <v>101707000</v>
      </c>
      <c r="AO126" s="97"/>
      <c r="AR126" t="s">
        <v>25</v>
      </c>
    </row>
    <row r="127" spans="6:47">
      <c r="F127" s="94"/>
      <c r="G127" s="32">
        <f>G125+G126</f>
        <v>7738897.3035168201</v>
      </c>
      <c r="H127" s="32" t="s">
        <v>5433</v>
      </c>
      <c r="I127" s="32">
        <f>I125+I126</f>
        <v>532060.61676523532</v>
      </c>
      <c r="J127" s="112"/>
      <c r="K127" s="94"/>
      <c r="L127" s="94"/>
      <c r="N127" s="94"/>
      <c r="R127" s="167"/>
      <c r="S127" s="205" t="s">
        <v>5776</v>
      </c>
      <c r="T127" s="205">
        <f>T126-13</f>
        <v>302</v>
      </c>
      <c r="U127" s="205" t="s">
        <v>6452</v>
      </c>
      <c r="V127" s="205">
        <v>1275</v>
      </c>
      <c r="W127" s="97">
        <f t="shared" si="50"/>
        <v>1589.7608219178082</v>
      </c>
      <c r="X127" s="32">
        <f t="shared" si="63"/>
        <v>1621.5560383561644</v>
      </c>
      <c r="Y127" s="32">
        <f t="shared" si="64"/>
        <v>1653.3512547945206</v>
      </c>
      <c r="Z127" s="94"/>
      <c r="AA127" s="94">
        <v>6826</v>
      </c>
      <c r="AB127" s="462">
        <f t="shared" si="65"/>
        <v>20478</v>
      </c>
      <c r="AC127" s="94"/>
      <c r="AD127" t="s">
        <v>25</v>
      </c>
      <c r="AI127" s="147">
        <v>107</v>
      </c>
      <c r="AJ127" s="186" t="s">
        <v>4559</v>
      </c>
      <c r="AK127" s="186">
        <v>-48200</v>
      </c>
      <c r="AL127" s="147">
        <v>0</v>
      </c>
      <c r="AM127" s="147">
        <f t="shared" ref="AM127:AM177" si="66">AM128+AL127</f>
        <v>1007</v>
      </c>
      <c r="AN127" s="186">
        <f t="shared" si="62"/>
        <v>-48537400</v>
      </c>
      <c r="AO127" s="147" t="s">
        <v>4565</v>
      </c>
    </row>
    <row r="128" spans="6:47">
      <c r="F128" s="94"/>
      <c r="G128" s="32">
        <f>(X166+X167)/P48</f>
        <v>377468.67191481474</v>
      </c>
      <c r="H128" s="32" t="s">
        <v>5413</v>
      </c>
      <c r="I128" s="32">
        <f>(X166+X167)/P52</f>
        <v>25391.052860096566</v>
      </c>
      <c r="J128" s="112"/>
      <c r="K128" s="94"/>
      <c r="L128" s="94"/>
      <c r="M128" s="94"/>
      <c r="N128" s="94"/>
      <c r="R128" s="167"/>
      <c r="S128" s="205" t="s">
        <v>6453</v>
      </c>
      <c r="T128" s="205">
        <f>T127-117</f>
        <v>185</v>
      </c>
      <c r="U128" s="205" t="s">
        <v>6454</v>
      </c>
      <c r="V128" s="205">
        <v>1310</v>
      </c>
      <c r="W128" s="97">
        <f t="shared" si="50"/>
        <v>1515.8243287671235</v>
      </c>
      <c r="X128" s="32">
        <f t="shared" ref="X128:X129" si="67">W128*(1+$X$19/100)</f>
        <v>1546.1408153424659</v>
      </c>
      <c r="Y128" s="32">
        <f t="shared" ref="Y128:Y129" si="68">W128*(1+$Y$19/100)</f>
        <v>1576.4573019178085</v>
      </c>
      <c r="Z128" s="94"/>
      <c r="AA128" s="94">
        <v>22240</v>
      </c>
      <c r="AB128" s="462">
        <f t="shared" si="65"/>
        <v>66720</v>
      </c>
      <c r="AC128" t="s">
        <v>25</v>
      </c>
      <c r="AI128" s="87">
        <v>108</v>
      </c>
      <c r="AJ128" s="88" t="s">
        <v>4559</v>
      </c>
      <c r="AK128" s="88">
        <v>39327293</v>
      </c>
      <c r="AL128" s="87">
        <v>4</v>
      </c>
      <c r="AM128" s="147">
        <f t="shared" si="66"/>
        <v>1007</v>
      </c>
      <c r="AN128" s="186">
        <f t="shared" si="62"/>
        <v>39602584051</v>
      </c>
      <c r="AO128" s="87" t="s">
        <v>4566</v>
      </c>
    </row>
    <row r="129" spans="6:44">
      <c r="F129" s="94"/>
      <c r="G129" s="32">
        <f>X164/P48</f>
        <v>2676522.1925259838</v>
      </c>
      <c r="H129" s="32" t="s">
        <v>480</v>
      </c>
      <c r="I129" s="32">
        <f>X164/P52</f>
        <v>180040.68026865448</v>
      </c>
      <c r="J129" s="112"/>
      <c r="K129" s="94"/>
      <c r="L129" s="94"/>
      <c r="N129" s="94"/>
      <c r="R129" s="167"/>
      <c r="S129" s="205" t="s">
        <v>6462</v>
      </c>
      <c r="T129" s="205">
        <f>T128-4</f>
        <v>181</v>
      </c>
      <c r="U129" s="205" t="s">
        <v>6596</v>
      </c>
      <c r="V129" s="205">
        <v>1388</v>
      </c>
      <c r="W129" s="97">
        <f t="shared" si="50"/>
        <v>1601.8204493150686</v>
      </c>
      <c r="X129" s="32">
        <f t="shared" si="67"/>
        <v>1633.85685830137</v>
      </c>
      <c r="Y129" s="32">
        <f t="shared" si="68"/>
        <v>1665.8932672876713</v>
      </c>
      <c r="Z129" s="94"/>
      <c r="AA129" s="94">
        <v>356260</v>
      </c>
      <c r="AB129" s="462">
        <f t="shared" si="65"/>
        <v>1068780</v>
      </c>
      <c r="AI129" s="87">
        <v>109</v>
      </c>
      <c r="AJ129" s="88" t="s">
        <v>4580</v>
      </c>
      <c r="AK129" s="88">
        <v>8749050</v>
      </c>
      <c r="AL129" s="87">
        <v>1</v>
      </c>
      <c r="AM129" s="87">
        <f t="shared" si="66"/>
        <v>1003</v>
      </c>
      <c r="AN129" s="88">
        <f t="shared" si="62"/>
        <v>8775297150</v>
      </c>
      <c r="AO129" s="87" t="s">
        <v>4581</v>
      </c>
    </row>
    <row r="130" spans="6:44">
      <c r="F130" s="94"/>
      <c r="G130" s="32">
        <f>G127-G128-G129</f>
        <v>4684906.4390760213</v>
      </c>
      <c r="H130" s="32" t="s">
        <v>5</v>
      </c>
      <c r="I130" s="32">
        <f>I127-I128-I129</f>
        <v>326628.88363648427</v>
      </c>
      <c r="J130" s="112"/>
      <c r="K130" s="94"/>
      <c r="L130" s="94"/>
      <c r="M130" t="s">
        <v>25</v>
      </c>
      <c r="N130" s="94"/>
      <c r="R130" s="167"/>
      <c r="S130" s="205" t="s">
        <v>6602</v>
      </c>
      <c r="T130" s="205">
        <f>T129-39</f>
        <v>142</v>
      </c>
      <c r="U130" s="205" t="s">
        <v>6910</v>
      </c>
      <c r="V130" s="205">
        <v>1702</v>
      </c>
      <c r="W130" s="97">
        <f t="shared" si="50"/>
        <v>1913.2718246575344</v>
      </c>
      <c r="X130" s="32">
        <f t="shared" ref="X130:X137" si="69">W130*(1+$X$19/100)</f>
        <v>1951.537261150685</v>
      </c>
      <c r="Y130" s="32">
        <f t="shared" ref="Y130:Y137" si="70">W130*(1+$Y$19/100)</f>
        <v>1989.8026976438357</v>
      </c>
      <c r="Z130" s="375"/>
      <c r="AA130" s="375">
        <v>1001</v>
      </c>
      <c r="AB130" s="462">
        <f t="shared" si="65"/>
        <v>3003</v>
      </c>
      <c r="AI130" s="97">
        <v>110</v>
      </c>
      <c r="AJ130" s="111" t="s">
        <v>4582</v>
      </c>
      <c r="AK130" s="111">
        <v>60000</v>
      </c>
      <c r="AL130" s="97">
        <v>1</v>
      </c>
      <c r="AM130" s="97">
        <f t="shared" si="66"/>
        <v>1002</v>
      </c>
      <c r="AN130" s="115">
        <f t="shared" si="62"/>
        <v>60120000</v>
      </c>
      <c r="AO130" s="97" t="s">
        <v>4583</v>
      </c>
    </row>
    <row r="131" spans="6:44">
      <c r="N131" s="94"/>
      <c r="R131" s="167"/>
      <c r="S131" s="205" t="s">
        <v>6913</v>
      </c>
      <c r="T131" s="205">
        <f>T115-1086</f>
        <v>114</v>
      </c>
      <c r="U131" s="205" t="s">
        <v>6915</v>
      </c>
      <c r="V131" s="205">
        <v>1555</v>
      </c>
      <c r="W131" s="97">
        <f t="shared" si="50"/>
        <v>1714.6239452054797</v>
      </c>
      <c r="X131" s="32">
        <f t="shared" si="69"/>
        <v>1748.9164241095893</v>
      </c>
      <c r="Y131" s="32">
        <f t="shared" si="70"/>
        <v>1783.208903013699</v>
      </c>
      <c r="Z131" s="408"/>
      <c r="AA131" s="408">
        <v>93469</v>
      </c>
      <c r="AB131" s="462">
        <f t="shared" si="65"/>
        <v>280407</v>
      </c>
      <c r="AI131" s="20">
        <v>111</v>
      </c>
      <c r="AJ131" s="115" t="s">
        <v>4591</v>
      </c>
      <c r="AK131" s="115">
        <v>4750000</v>
      </c>
      <c r="AL131" s="20">
        <v>0</v>
      </c>
      <c r="AM131" s="97">
        <f t="shared" si="66"/>
        <v>1001</v>
      </c>
      <c r="AN131" s="115">
        <f t="shared" si="62"/>
        <v>4754750000</v>
      </c>
      <c r="AO131" s="20"/>
      <c r="AR131" t="s">
        <v>25</v>
      </c>
    </row>
    <row r="132" spans="6:44">
      <c r="N132" s="94"/>
      <c r="R132" s="167"/>
      <c r="S132" s="205" t="s">
        <v>6919</v>
      </c>
      <c r="T132" s="205">
        <f>T115-1100</f>
        <v>100</v>
      </c>
      <c r="U132" s="205" t="s">
        <v>6921</v>
      </c>
      <c r="V132" s="205">
        <v>1525</v>
      </c>
      <c r="W132" s="97">
        <f t="shared" si="50"/>
        <v>1665.166301369863</v>
      </c>
      <c r="X132" s="32">
        <f t="shared" si="69"/>
        <v>1698.4696273972604</v>
      </c>
      <c r="Y132" s="32">
        <f t="shared" si="70"/>
        <v>1731.7729534246575</v>
      </c>
      <c r="Z132" s="412"/>
      <c r="AA132" s="412">
        <v>672591</v>
      </c>
      <c r="AB132" s="462">
        <f t="shared" si="65"/>
        <v>2017773</v>
      </c>
      <c r="AD132" t="s">
        <v>25</v>
      </c>
      <c r="AI132" s="87">
        <v>112</v>
      </c>
      <c r="AJ132" s="88" t="s">
        <v>4591</v>
      </c>
      <c r="AK132" s="88">
        <v>13101160</v>
      </c>
      <c r="AL132" s="87">
        <v>1</v>
      </c>
      <c r="AM132" s="87">
        <f t="shared" si="66"/>
        <v>1001</v>
      </c>
      <c r="AN132" s="88">
        <f t="shared" si="62"/>
        <v>13114261160</v>
      </c>
      <c r="AO132" s="87" t="s">
        <v>4594</v>
      </c>
    </row>
    <row r="133" spans="6:44">
      <c r="K133" s="94"/>
      <c r="L133" s="94"/>
      <c r="R133" s="167"/>
      <c r="S133" s="205" t="s">
        <v>6922</v>
      </c>
      <c r="T133" s="205">
        <f>T115-1102</f>
        <v>98</v>
      </c>
      <c r="U133" s="205" t="s">
        <v>6923</v>
      </c>
      <c r="V133" s="205">
        <v>1541</v>
      </c>
      <c r="W133" s="97">
        <f t="shared" si="50"/>
        <v>1680.2726246575346</v>
      </c>
      <c r="X133" s="32">
        <f t="shared" si="69"/>
        <v>1713.8780771506854</v>
      </c>
      <c r="Y133" s="32">
        <f t="shared" si="70"/>
        <v>1747.4835296438362</v>
      </c>
      <c r="Z133" s="412"/>
      <c r="AA133" s="412">
        <v>227276</v>
      </c>
      <c r="AB133" s="462">
        <f t="shared" si="65"/>
        <v>681828</v>
      </c>
      <c r="AI133" s="20">
        <v>113</v>
      </c>
      <c r="AJ133" s="115" t="s">
        <v>4593</v>
      </c>
      <c r="AK133" s="115">
        <v>-980000</v>
      </c>
      <c r="AL133" s="20">
        <v>0</v>
      </c>
      <c r="AM133" s="97">
        <f t="shared" si="66"/>
        <v>1000</v>
      </c>
      <c r="AN133" s="115">
        <f t="shared" si="62"/>
        <v>-980000000</v>
      </c>
      <c r="AO133" s="20"/>
    </row>
    <row r="134" spans="6:44">
      <c r="P134" t="s">
        <v>25</v>
      </c>
      <c r="R134" s="167"/>
      <c r="S134" s="205" t="s">
        <v>6924</v>
      </c>
      <c r="T134" s="205">
        <f>T115-1103</f>
        <v>97</v>
      </c>
      <c r="U134" s="205" t="s">
        <v>6955</v>
      </c>
      <c r="V134" s="205">
        <v>1525</v>
      </c>
      <c r="W134" s="97">
        <f t="shared" si="50"/>
        <v>1661.6567123287673</v>
      </c>
      <c r="X134" s="32">
        <f t="shared" si="69"/>
        <v>1694.8898465753427</v>
      </c>
      <c r="Y134" s="32">
        <f t="shared" si="70"/>
        <v>1728.122980821918</v>
      </c>
      <c r="Z134" s="410"/>
      <c r="AA134" s="410">
        <v>35724.333400000003</v>
      </c>
      <c r="AB134" s="462">
        <f t="shared" si="65"/>
        <v>107173.00020000001</v>
      </c>
      <c r="AI134" s="87">
        <v>114</v>
      </c>
      <c r="AJ134" s="88" t="s">
        <v>4593</v>
      </c>
      <c r="AK134" s="88">
        <v>13301790</v>
      </c>
      <c r="AL134" s="87">
        <v>0</v>
      </c>
      <c r="AM134" s="87">
        <f t="shared" si="66"/>
        <v>1000</v>
      </c>
      <c r="AN134" s="88">
        <f t="shared" si="62"/>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T115-1113</f>
        <v>87</v>
      </c>
      <c r="U135" s="205" t="s">
        <v>6948</v>
      </c>
      <c r="V135" s="205">
        <v>1580</v>
      </c>
      <c r="W135" s="97">
        <f t="shared" si="50"/>
        <v>1709.4647671232876</v>
      </c>
      <c r="X135" s="32">
        <f t="shared" si="69"/>
        <v>1743.6540624657534</v>
      </c>
      <c r="Y135" s="32">
        <f t="shared" si="70"/>
        <v>1777.8433578082193</v>
      </c>
      <c r="Z135" s="428">
        <v>45255</v>
      </c>
      <c r="AA135" s="428"/>
      <c r="AB135" s="462"/>
      <c r="AD135" t="s">
        <v>25</v>
      </c>
      <c r="AI135" s="20">
        <v>115</v>
      </c>
      <c r="AJ135" s="115" t="s">
        <v>4593</v>
      </c>
      <c r="AK135" s="115">
        <v>404000</v>
      </c>
      <c r="AL135" s="20">
        <v>5</v>
      </c>
      <c r="AM135" s="97">
        <f t="shared" si="66"/>
        <v>1000</v>
      </c>
      <c r="AN135" s="115">
        <f t="shared" si="62"/>
        <v>404000000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6949</v>
      </c>
      <c r="T136" s="205">
        <f>T115-1114</f>
        <v>86</v>
      </c>
      <c r="U136" s="205" t="s">
        <v>6950</v>
      </c>
      <c r="V136" s="205">
        <v>1560</v>
      </c>
      <c r="W136" s="97">
        <f t="shared" si="50"/>
        <v>1686.6292602739727</v>
      </c>
      <c r="X136" s="32">
        <f t="shared" si="69"/>
        <v>1720.3618454794521</v>
      </c>
      <c r="Y136" s="32">
        <f t="shared" si="70"/>
        <v>1754.0944306849317</v>
      </c>
      <c r="Z136" s="428">
        <v>48918</v>
      </c>
      <c r="AA136" s="428"/>
      <c r="AB136" s="462"/>
      <c r="AI136" s="87">
        <v>116</v>
      </c>
      <c r="AJ136" s="88" t="s">
        <v>4606</v>
      </c>
      <c r="AK136" s="88">
        <v>4291628</v>
      </c>
      <c r="AL136" s="87">
        <v>2</v>
      </c>
      <c r="AM136" s="87">
        <f t="shared" si="66"/>
        <v>995</v>
      </c>
      <c r="AN136" s="88">
        <f t="shared" si="62"/>
        <v>4270169860</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6951</v>
      </c>
      <c r="T137" s="205">
        <f>T115-1117</f>
        <v>83</v>
      </c>
      <c r="U137" s="205" t="s">
        <v>6961</v>
      </c>
      <c r="V137" s="205">
        <v>1496</v>
      </c>
      <c r="W137" s="97">
        <f t="shared" si="50"/>
        <v>1613.9913643835619</v>
      </c>
      <c r="X137" s="32">
        <f t="shared" si="69"/>
        <v>1646.2711916712331</v>
      </c>
      <c r="Y137" s="32">
        <f t="shared" si="70"/>
        <v>1678.5510189589045</v>
      </c>
      <c r="Z137" s="429">
        <v>83166</v>
      </c>
      <c r="AA137" s="429"/>
      <c r="AB137" s="462"/>
      <c r="AD137" t="s">
        <v>25</v>
      </c>
      <c r="AI137" s="20">
        <v>117</v>
      </c>
      <c r="AJ137" s="115" t="s">
        <v>4609</v>
      </c>
      <c r="AK137" s="115">
        <v>1000</v>
      </c>
      <c r="AL137" s="20">
        <v>5</v>
      </c>
      <c r="AM137" s="20">
        <f t="shared" si="66"/>
        <v>993</v>
      </c>
      <c r="AN137" s="115">
        <f t="shared" si="62"/>
        <v>993000</v>
      </c>
      <c r="AO137" s="20"/>
    </row>
    <row r="138" spans="6:44">
      <c r="G138" s="32" t="s">
        <v>5439</v>
      </c>
      <c r="H138" s="32"/>
      <c r="I138" s="205"/>
      <c r="J138" s="205"/>
      <c r="K138" s="32"/>
      <c r="L138" s="97">
        <f t="shared" si="71"/>
        <v>0</v>
      </c>
      <c r="M138" s="97">
        <f t="shared" si="72"/>
        <v>0</v>
      </c>
      <c r="R138" s="167"/>
      <c r="S138" s="205" t="s">
        <v>6970</v>
      </c>
      <c r="T138" s="205">
        <f>T115-1134</f>
        <v>66</v>
      </c>
      <c r="U138" s="205" t="s">
        <v>6971</v>
      </c>
      <c r="V138" s="205">
        <v>1495</v>
      </c>
      <c r="W138" s="97">
        <f t="shared" si="50"/>
        <v>1593.4160547945207</v>
      </c>
      <c r="X138" s="32">
        <f t="shared" ref="X138:X149" si="73">W138*(1+$X$19/100)</f>
        <v>1625.2843758904112</v>
      </c>
      <c r="Y138" s="32">
        <f t="shared" ref="Y138:Y149" si="74">W138*(1+$Y$19/100)</f>
        <v>1657.1526969863016</v>
      </c>
      <c r="Z138" s="436">
        <v>50661</v>
      </c>
      <c r="AA138" s="436"/>
      <c r="AB138" s="436"/>
      <c r="AI138" s="119">
        <v>118</v>
      </c>
      <c r="AJ138" s="77" t="s">
        <v>4617</v>
      </c>
      <c r="AK138" s="77">
        <v>8739459</v>
      </c>
      <c r="AL138" s="119">
        <v>2</v>
      </c>
      <c r="AM138" s="119">
        <f t="shared" si="66"/>
        <v>988</v>
      </c>
      <c r="AN138" s="77">
        <f t="shared" si="62"/>
        <v>8634585492</v>
      </c>
      <c r="AO138" s="119" t="s">
        <v>4581</v>
      </c>
    </row>
    <row r="139" spans="6:44">
      <c r="G139" s="32" t="s">
        <v>5440</v>
      </c>
      <c r="H139" s="32"/>
      <c r="I139" s="205"/>
      <c r="J139" s="205"/>
      <c r="K139" s="32"/>
      <c r="L139" s="97">
        <f t="shared" si="71"/>
        <v>0</v>
      </c>
      <c r="M139" s="97">
        <f t="shared" si="72"/>
        <v>0</v>
      </c>
      <c r="N139" s="94"/>
      <c r="R139" s="167"/>
      <c r="S139" s="205" t="s">
        <v>6973</v>
      </c>
      <c r="T139" s="205">
        <f>T115-1135</f>
        <v>65</v>
      </c>
      <c r="U139" s="205" t="s">
        <v>7067</v>
      </c>
      <c r="V139" s="205">
        <v>1439</v>
      </c>
      <c r="W139" s="97">
        <f t="shared" si="50"/>
        <v>1532.6256767123291</v>
      </c>
      <c r="X139" s="32">
        <f t="shared" si="73"/>
        <v>1563.2781902465756</v>
      </c>
      <c r="Y139" s="32">
        <f t="shared" si="74"/>
        <v>1593.9307037808223</v>
      </c>
      <c r="Z139" s="436">
        <v>50767</v>
      </c>
      <c r="AA139" s="436"/>
      <c r="AB139" s="436"/>
      <c r="AI139" s="119">
        <v>119</v>
      </c>
      <c r="AJ139" s="77" t="s">
        <v>4618</v>
      </c>
      <c r="AK139" s="77">
        <v>17595278</v>
      </c>
      <c r="AL139" s="119">
        <v>1</v>
      </c>
      <c r="AM139" s="119">
        <f t="shared" si="66"/>
        <v>986</v>
      </c>
      <c r="AN139" s="77">
        <f t="shared" si="62"/>
        <v>17348944108</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7071</v>
      </c>
      <c r="T140" s="205">
        <f>T115-1183</f>
        <v>17</v>
      </c>
      <c r="U140" s="205" t="s">
        <v>7072</v>
      </c>
      <c r="V140" s="205">
        <v>1427</v>
      </c>
      <c r="W140" s="97">
        <f t="shared" si="50"/>
        <v>1467.3000438356166</v>
      </c>
      <c r="X140" s="32">
        <f t="shared" si="73"/>
        <v>1496.6460447123291</v>
      </c>
      <c r="Y140" s="32">
        <f t="shared" si="74"/>
        <v>1525.9920455890413</v>
      </c>
      <c r="Z140" s="466">
        <v>9610</v>
      </c>
      <c r="AA140" s="466"/>
      <c r="AB140" s="466"/>
      <c r="AI140" s="119">
        <v>120</v>
      </c>
      <c r="AJ140" s="77" t="s">
        <v>4619</v>
      </c>
      <c r="AK140" s="77">
        <v>13335309</v>
      </c>
      <c r="AL140" s="119">
        <v>13</v>
      </c>
      <c r="AM140" s="119">
        <f t="shared" si="66"/>
        <v>985</v>
      </c>
      <c r="AN140" s="77">
        <f t="shared" si="62"/>
        <v>13135279365</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7074</v>
      </c>
      <c r="T141" s="205">
        <f>T115-1184</f>
        <v>16</v>
      </c>
      <c r="U141" s="205" t="s">
        <v>7075</v>
      </c>
      <c r="V141" s="205">
        <v>1426</v>
      </c>
      <c r="W141" s="97">
        <f t="shared" si="50"/>
        <v>1465.1778849315069</v>
      </c>
      <c r="X141" s="32">
        <f t="shared" si="73"/>
        <v>1494.4814426301371</v>
      </c>
      <c r="Y141" s="32">
        <f t="shared" si="74"/>
        <v>1523.7850003287672</v>
      </c>
      <c r="Z141" s="466">
        <v>27157</v>
      </c>
      <c r="AA141" s="466"/>
      <c r="AB141" s="466"/>
      <c r="AC141" t="s">
        <v>25</v>
      </c>
      <c r="AI141" s="159">
        <v>121</v>
      </c>
      <c r="AJ141" s="215" t="s">
        <v>4668</v>
      </c>
      <c r="AK141" s="215">
        <v>50000000</v>
      </c>
      <c r="AL141" s="159">
        <v>11</v>
      </c>
      <c r="AM141" s="159">
        <f t="shared" si="66"/>
        <v>972</v>
      </c>
      <c r="AN141" s="215">
        <f t="shared" si="62"/>
        <v>48600000000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7088</v>
      </c>
      <c r="T142" s="205">
        <f>T115-1191</f>
        <v>9</v>
      </c>
      <c r="U142" s="205" t="s">
        <v>7087</v>
      </c>
      <c r="V142" s="205">
        <v>1542</v>
      </c>
      <c r="W142" s="97">
        <f t="shared" si="50"/>
        <v>1576.0845369863016</v>
      </c>
      <c r="X142" s="32">
        <f t="shared" si="73"/>
        <v>1607.6062277260276</v>
      </c>
      <c r="Y142" s="32">
        <f t="shared" si="74"/>
        <v>1639.1279184657537</v>
      </c>
      <c r="Z142" s="470">
        <v>1782</v>
      </c>
      <c r="AA142" s="470"/>
      <c r="AB142" s="470"/>
      <c r="AI142" s="20">
        <v>122</v>
      </c>
      <c r="AJ142" s="115" t="s">
        <v>957</v>
      </c>
      <c r="AK142" s="115">
        <v>30000</v>
      </c>
      <c r="AL142" s="20">
        <v>3</v>
      </c>
      <c r="AM142" s="20">
        <f t="shared" si="66"/>
        <v>961</v>
      </c>
      <c r="AN142" s="115">
        <f t="shared" si="62"/>
        <v>28830000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7091</v>
      </c>
      <c r="T143" s="205">
        <f>T115-1193</f>
        <v>7</v>
      </c>
      <c r="U143" s="205" t="s">
        <v>7092</v>
      </c>
      <c r="V143" s="205">
        <v>1510</v>
      </c>
      <c r="W143" s="97">
        <f t="shared" si="50"/>
        <v>1541.0604931506853</v>
      </c>
      <c r="X143" s="32">
        <f t="shared" si="73"/>
        <v>1571.8817030136991</v>
      </c>
      <c r="Y143" s="32">
        <f t="shared" si="74"/>
        <v>1602.7029128767126</v>
      </c>
      <c r="Z143" s="472">
        <v>7126</v>
      </c>
      <c r="AA143" s="472"/>
      <c r="AB143" s="472"/>
      <c r="AI143" s="20">
        <v>123</v>
      </c>
      <c r="AJ143" s="115" t="s">
        <v>4724</v>
      </c>
      <c r="AK143" s="115">
        <v>600000</v>
      </c>
      <c r="AL143" s="20">
        <v>1</v>
      </c>
      <c r="AM143" s="20">
        <f t="shared" si="66"/>
        <v>958</v>
      </c>
      <c r="AN143" s="115">
        <f t="shared" si="62"/>
        <v>574800000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7102</v>
      </c>
      <c r="T144" s="205">
        <f>T115-1196</f>
        <v>4</v>
      </c>
      <c r="U144" s="205" t="s">
        <v>7104</v>
      </c>
      <c r="V144" s="205">
        <v>1470</v>
      </c>
      <c r="W144" s="97">
        <f t="shared" si="50"/>
        <v>1496.8546849315071</v>
      </c>
      <c r="X144" s="32">
        <f t="shared" si="73"/>
        <v>1526.7917786301373</v>
      </c>
      <c r="Y144" s="32">
        <f t="shared" si="74"/>
        <v>1556.7288723287675</v>
      </c>
      <c r="Z144" s="472">
        <v>14990</v>
      </c>
      <c r="AA144" s="472"/>
      <c r="AB144" s="472"/>
      <c r="AI144" s="20">
        <v>124</v>
      </c>
      <c r="AJ144" s="115" t="s">
        <v>4727</v>
      </c>
      <c r="AK144" s="115">
        <v>30000</v>
      </c>
      <c r="AL144" s="20">
        <v>3</v>
      </c>
      <c r="AM144" s="20">
        <f t="shared" si="66"/>
        <v>957</v>
      </c>
      <c r="AN144" s="115">
        <f t="shared" si="62"/>
        <v>28710000</v>
      </c>
      <c r="AO144" s="20"/>
    </row>
    <row r="145" spans="5:45">
      <c r="G145" s="32" t="s">
        <v>6444</v>
      </c>
      <c r="H145" s="32">
        <v>4796613</v>
      </c>
      <c r="I145" s="205">
        <v>250296</v>
      </c>
      <c r="J145" s="205">
        <v>2687591</v>
      </c>
      <c r="K145" s="32">
        <v>140243</v>
      </c>
      <c r="L145" s="97">
        <f t="shared" si="71"/>
        <v>7484204</v>
      </c>
      <c r="M145" s="97">
        <f t="shared" si="72"/>
        <v>390539</v>
      </c>
      <c r="N145" s="94"/>
      <c r="P145" t="s">
        <v>25</v>
      </c>
      <c r="R145" s="167"/>
      <c r="S145" s="205" t="s">
        <v>7105</v>
      </c>
      <c r="T145" s="205">
        <f>T115-1197</f>
        <v>3</v>
      </c>
      <c r="U145" s="205" t="s">
        <v>7106</v>
      </c>
      <c r="V145" s="205">
        <v>1480</v>
      </c>
      <c r="W145" s="97">
        <f t="shared" si="50"/>
        <v>1505.9020273972603</v>
      </c>
      <c r="X145" s="32">
        <f t="shared" si="73"/>
        <v>1536.0200679452055</v>
      </c>
      <c r="Y145" s="32">
        <f t="shared" si="74"/>
        <v>1566.1381084931509</v>
      </c>
      <c r="Z145" s="479">
        <v>27434</v>
      </c>
      <c r="AA145" s="479"/>
      <c r="AB145" s="479"/>
      <c r="AC145" t="s">
        <v>25</v>
      </c>
      <c r="AD145" t="s">
        <v>25</v>
      </c>
      <c r="AI145" s="20">
        <v>125</v>
      </c>
      <c r="AJ145" s="115" t="s">
        <v>4733</v>
      </c>
      <c r="AK145" s="115">
        <v>2250000</v>
      </c>
      <c r="AL145" s="20">
        <v>1</v>
      </c>
      <c r="AM145" s="20">
        <f t="shared" si="66"/>
        <v>954</v>
      </c>
      <c r="AN145" s="115">
        <f>AK145*AM145</f>
        <v>2146500000</v>
      </c>
      <c r="AO145" s="20"/>
      <c r="AS145" t="s">
        <v>25</v>
      </c>
    </row>
    <row r="146" spans="5:45">
      <c r="G146" s="32"/>
      <c r="H146" s="32"/>
      <c r="I146" s="205"/>
      <c r="J146" s="205"/>
      <c r="K146" s="32"/>
      <c r="L146" s="97"/>
      <c r="M146" s="97"/>
      <c r="R146" s="167"/>
      <c r="S146" s="205" t="s">
        <v>7107</v>
      </c>
      <c r="T146" s="205">
        <f>T115-1199</f>
        <v>1</v>
      </c>
      <c r="U146" s="205" t="s">
        <v>7108</v>
      </c>
      <c r="V146" s="205">
        <v>1451</v>
      </c>
      <c r="W146" s="97">
        <f t="shared" si="50"/>
        <v>1474.1682958904109</v>
      </c>
      <c r="X146" s="32">
        <f t="shared" si="73"/>
        <v>1503.6516618082192</v>
      </c>
      <c r="Y146" s="32">
        <f t="shared" si="74"/>
        <v>1533.1350277260274</v>
      </c>
      <c r="Z146" s="479">
        <v>20346</v>
      </c>
      <c r="AA146" s="479"/>
      <c r="AB146" s="479"/>
      <c r="AC146" s="94"/>
      <c r="AI146" s="23">
        <v>126</v>
      </c>
      <c r="AJ146" s="35" t="s">
        <v>4738</v>
      </c>
      <c r="AK146" s="35">
        <v>-31412200</v>
      </c>
      <c r="AL146" s="23">
        <v>1</v>
      </c>
      <c r="AM146" s="20">
        <f t="shared" si="66"/>
        <v>953</v>
      </c>
      <c r="AN146" s="35">
        <f>AK146*AM146</f>
        <v>-29935826600</v>
      </c>
      <c r="AO146" s="23" t="s">
        <v>4726</v>
      </c>
    </row>
    <row r="147" spans="5:45">
      <c r="G147" s="32"/>
      <c r="H147" s="32"/>
      <c r="I147" s="205"/>
      <c r="J147" s="205"/>
      <c r="K147" s="32"/>
      <c r="L147" s="97">
        <f>H147+J147</f>
        <v>0</v>
      </c>
      <c r="M147" s="97">
        <f>I147+K147</f>
        <v>0</v>
      </c>
      <c r="R147" s="167"/>
      <c r="S147" s="205" t="s">
        <v>7110</v>
      </c>
      <c r="T147" s="205">
        <f>T115-1200</f>
        <v>0</v>
      </c>
      <c r="U147" s="205" t="s">
        <v>7111</v>
      </c>
      <c r="V147" s="205">
        <v>1445</v>
      </c>
      <c r="W147" s="97">
        <f t="shared" si="50"/>
        <v>1466.9640000000002</v>
      </c>
      <c r="X147" s="32">
        <f t="shared" si="73"/>
        <v>1496.3032800000001</v>
      </c>
      <c r="Y147" s="32">
        <f t="shared" si="74"/>
        <v>1525.6425600000002</v>
      </c>
      <c r="Z147" s="479">
        <v>120744</v>
      </c>
      <c r="AA147" s="479"/>
      <c r="AB147" s="479" t="s">
        <v>25</v>
      </c>
      <c r="AC147" s="94"/>
      <c r="AI147" s="20">
        <v>127</v>
      </c>
      <c r="AJ147" s="115" t="s">
        <v>4747</v>
      </c>
      <c r="AK147" s="115">
        <v>70000</v>
      </c>
      <c r="AL147" s="20">
        <v>9</v>
      </c>
      <c r="AM147" s="20">
        <f t="shared" si="66"/>
        <v>952</v>
      </c>
      <c r="AN147" s="115">
        <f>AK147*AM147</f>
        <v>66640000</v>
      </c>
      <c r="AO147" s="20"/>
    </row>
    <row r="148" spans="5:45">
      <c r="N148" s="112"/>
      <c r="R148" s="167"/>
      <c r="S148" s="205" t="s">
        <v>7112</v>
      </c>
      <c r="T148" s="205">
        <f>T115-1203</f>
        <v>-3</v>
      </c>
      <c r="U148" s="205" t="s">
        <v>7113</v>
      </c>
      <c r="V148" s="205">
        <v>1440</v>
      </c>
      <c r="W148" s="97">
        <f t="shared" si="50"/>
        <v>1458.5740273972606</v>
      </c>
      <c r="X148" s="32">
        <f t="shared" si="73"/>
        <v>1487.7455079452059</v>
      </c>
      <c r="Y148" s="32">
        <f t="shared" si="74"/>
        <v>1516.9169884931512</v>
      </c>
      <c r="Z148" s="481">
        <v>5656</v>
      </c>
      <c r="AA148" s="481"/>
      <c r="AB148" s="481"/>
      <c r="AC148" t="s">
        <v>25</v>
      </c>
      <c r="AI148" s="97">
        <v>128</v>
      </c>
      <c r="AJ148" s="111" t="s">
        <v>4753</v>
      </c>
      <c r="AK148" s="111">
        <v>20000</v>
      </c>
      <c r="AL148" s="97">
        <v>10</v>
      </c>
      <c r="AM148" s="20">
        <f t="shared" si="66"/>
        <v>943</v>
      </c>
      <c r="AN148" s="115">
        <f>AK148*AM148</f>
        <v>18860000</v>
      </c>
      <c r="AO148" s="20"/>
      <c r="AQ148" t="s">
        <v>25</v>
      </c>
    </row>
    <row r="149" spans="5:45">
      <c r="P149" s="112"/>
      <c r="Q149" s="112"/>
      <c r="R149" s="167"/>
      <c r="S149" s="205" t="s">
        <v>7115</v>
      </c>
      <c r="T149" s="205">
        <f>T115-1204</f>
        <v>-4</v>
      </c>
      <c r="U149" s="205" t="s">
        <v>7116</v>
      </c>
      <c r="V149" s="205">
        <v>1388</v>
      </c>
      <c r="W149" s="97">
        <f t="shared" si="50"/>
        <v>1404.8385315068492</v>
      </c>
      <c r="X149" s="32">
        <f t="shared" si="73"/>
        <v>1432.9353021369861</v>
      </c>
      <c r="Y149" s="32">
        <f t="shared" si="74"/>
        <v>1461.0320727671233</v>
      </c>
      <c r="Z149" s="481">
        <v>16588</v>
      </c>
      <c r="AA149" s="481"/>
      <c r="AB149" s="481"/>
      <c r="AI149" s="97">
        <v>129</v>
      </c>
      <c r="AJ149" s="111" t="s">
        <v>4773</v>
      </c>
      <c r="AK149" s="111">
        <v>1000000</v>
      </c>
      <c r="AL149" s="97">
        <v>1</v>
      </c>
      <c r="AM149" s="20">
        <f t="shared" si="66"/>
        <v>933</v>
      </c>
      <c r="AN149" s="115">
        <f>AK149*AM149</f>
        <v>933000000</v>
      </c>
      <c r="AO149" s="20"/>
    </row>
    <row r="150" spans="5:45">
      <c r="E150" s="121"/>
      <c r="K150" t="s">
        <v>25</v>
      </c>
      <c r="M150" t="s">
        <v>25</v>
      </c>
      <c r="N150" s="112"/>
      <c r="O150" s="94"/>
      <c r="R150" s="167"/>
      <c r="S150" s="205" t="s">
        <v>987</v>
      </c>
      <c r="T150" s="205">
        <f>T115-1211</f>
        <v>-11</v>
      </c>
      <c r="U150" s="205" t="s">
        <v>7124</v>
      </c>
      <c r="V150" s="205">
        <v>1360</v>
      </c>
      <c r="W150" s="97">
        <f t="shared" si="50"/>
        <v>1369.1958356164387</v>
      </c>
      <c r="X150" s="32">
        <f t="shared" ref="X150:X155" si="75">W150*(1+$X$19/100)</f>
        <v>1396.5797523287674</v>
      </c>
      <c r="Y150" s="32">
        <f t="shared" ref="Y150:Y155" si="76">W150*(1+$Y$19/100)</f>
        <v>1423.9636690410962</v>
      </c>
      <c r="Z150" s="485">
        <v>25172</v>
      </c>
      <c r="AA150" s="485"/>
      <c r="AB150" s="485"/>
      <c r="AD150" s="112" t="s">
        <v>25</v>
      </c>
      <c r="AE150" s="112"/>
      <c r="AI150" s="97">
        <v>130</v>
      </c>
      <c r="AJ150" s="111" t="s">
        <v>4774</v>
      </c>
      <c r="AK150" s="111">
        <v>65630227</v>
      </c>
      <c r="AL150" s="97">
        <v>0</v>
      </c>
      <c r="AM150" s="20">
        <f t="shared" si="66"/>
        <v>932</v>
      </c>
      <c r="AN150" s="115">
        <f t="shared" ref="AN150:AN177" si="77">AK150*AM150</f>
        <v>61167371564</v>
      </c>
      <c r="AO150" s="20" t="s">
        <v>4777</v>
      </c>
      <c r="AQ150" t="s">
        <v>25</v>
      </c>
      <c r="AS150" t="s">
        <v>25</v>
      </c>
    </row>
    <row r="151" spans="5:45">
      <c r="G151" s="205" t="s">
        <v>180</v>
      </c>
      <c r="H151" s="205" t="s">
        <v>5450</v>
      </c>
      <c r="I151" t="s">
        <v>5443</v>
      </c>
      <c r="O151" s="94"/>
      <c r="Q151" s="112"/>
      <c r="R151" s="167"/>
      <c r="S151" s="205" t="s">
        <v>7127</v>
      </c>
      <c r="T151" s="205">
        <f>T115-1213</f>
        <v>-13</v>
      </c>
      <c r="U151" s="205" t="s">
        <v>7133</v>
      </c>
      <c r="V151" s="205">
        <v>1268</v>
      </c>
      <c r="W151" s="97">
        <f t="shared" si="50"/>
        <v>1274.6283397260277</v>
      </c>
      <c r="X151" s="32">
        <f t="shared" si="75"/>
        <v>1300.1209065205483</v>
      </c>
      <c r="Y151" s="32">
        <f t="shared" si="76"/>
        <v>1325.6134733150689</v>
      </c>
      <c r="Z151" s="483">
        <v>89369</v>
      </c>
      <c r="AA151" s="483"/>
      <c r="AB151" s="483"/>
      <c r="AD151" s="112"/>
      <c r="AI151" s="97">
        <v>131</v>
      </c>
      <c r="AJ151" s="111" t="s">
        <v>4774</v>
      </c>
      <c r="AK151" s="111">
        <v>-3500000</v>
      </c>
      <c r="AL151" s="97">
        <v>6</v>
      </c>
      <c r="AM151" s="20">
        <f t="shared" si="66"/>
        <v>932</v>
      </c>
      <c r="AN151" s="115">
        <f t="shared" si="77"/>
        <v>-3262000000</v>
      </c>
      <c r="AO151" s="20" t="s">
        <v>4776</v>
      </c>
    </row>
    <row r="152" spans="5:45">
      <c r="G152" s="205" t="s">
        <v>5417</v>
      </c>
      <c r="H152" s="1">
        <v>30000000</v>
      </c>
      <c r="I152" s="295" t="s">
        <v>5444</v>
      </c>
      <c r="M152" t="s">
        <v>25</v>
      </c>
      <c r="O152" s="94"/>
      <c r="R152" s="167"/>
      <c r="S152" s="205" t="s">
        <v>7127</v>
      </c>
      <c r="T152" s="205">
        <f>T115-1213</f>
        <v>-13</v>
      </c>
      <c r="U152" s="205" t="s">
        <v>7129</v>
      </c>
      <c r="V152" s="205">
        <v>398</v>
      </c>
      <c r="W152" s="97">
        <f t="shared" si="50"/>
        <v>400.08050410958907</v>
      </c>
      <c r="X152" s="32">
        <f t="shared" si="75"/>
        <v>408.08211419178087</v>
      </c>
      <c r="Y152" s="32">
        <f t="shared" si="76"/>
        <v>416.08372427397262</v>
      </c>
      <c r="Z152" s="487"/>
      <c r="AA152" s="487"/>
      <c r="AB152" s="487">
        <v>206315</v>
      </c>
      <c r="AD152" s="112"/>
      <c r="AE152" s="112"/>
      <c r="AI152" s="97">
        <v>132</v>
      </c>
      <c r="AJ152" s="111" t="s">
        <v>4786</v>
      </c>
      <c r="AK152" s="111">
        <v>2520000</v>
      </c>
      <c r="AL152" s="97">
        <v>12</v>
      </c>
      <c r="AM152" s="20">
        <f t="shared" si="66"/>
        <v>926</v>
      </c>
      <c r="AN152" s="115">
        <f t="shared" si="77"/>
        <v>2333520000</v>
      </c>
      <c r="AO152" s="20"/>
    </row>
    <row r="153" spans="5:45">
      <c r="G153" s="205" t="s">
        <v>5418</v>
      </c>
      <c r="H153" s="1">
        <v>550000</v>
      </c>
      <c r="I153" t="s">
        <v>5445</v>
      </c>
      <c r="O153" s="94"/>
      <c r="R153" s="167"/>
      <c r="S153" s="205" t="s">
        <v>7130</v>
      </c>
      <c r="T153" s="205">
        <f>T115-1214</f>
        <v>-14</v>
      </c>
      <c r="U153" s="205" t="s">
        <v>7132</v>
      </c>
      <c r="V153" s="205">
        <v>402.9</v>
      </c>
      <c r="W153" s="97">
        <f t="shared" si="50"/>
        <v>404.6970443835616</v>
      </c>
      <c r="X153" s="32">
        <f t="shared" si="75"/>
        <v>412.79098527123284</v>
      </c>
      <c r="Y153" s="32">
        <f t="shared" si="76"/>
        <v>420.88492615890408</v>
      </c>
      <c r="Z153" s="487"/>
      <c r="AA153" s="487"/>
      <c r="AB153" s="487">
        <v>9612</v>
      </c>
      <c r="AI153" s="97">
        <v>133</v>
      </c>
      <c r="AJ153" s="111" t="s">
        <v>4821</v>
      </c>
      <c r="AK153" s="111">
        <v>1400000</v>
      </c>
      <c r="AL153" s="97">
        <v>4</v>
      </c>
      <c r="AM153" s="20">
        <f t="shared" si="66"/>
        <v>914</v>
      </c>
      <c r="AN153" s="115">
        <f t="shared" si="77"/>
        <v>1279600000</v>
      </c>
      <c r="AO153" s="20"/>
    </row>
    <row r="154" spans="5:45">
      <c r="G154" s="205" t="s">
        <v>5419</v>
      </c>
      <c r="H154" s="1">
        <v>70370000</v>
      </c>
      <c r="I154" t="s">
        <v>4082</v>
      </c>
      <c r="O154" s="94"/>
      <c r="R154" s="167"/>
      <c r="S154" s="205"/>
      <c r="T154" s="205" t="s">
        <v>25</v>
      </c>
      <c r="U154" s="205" t="s">
        <v>25</v>
      </c>
      <c r="V154" s="205"/>
      <c r="W154" s="97" t="e">
        <f t="shared" si="50"/>
        <v>#VALUE!</v>
      </c>
      <c r="X154" s="32" t="e">
        <f t="shared" si="75"/>
        <v>#VALUE!</v>
      </c>
      <c r="Y154" s="32" t="e">
        <f t="shared" si="76"/>
        <v>#VALUE!</v>
      </c>
      <c r="Z154" s="94"/>
      <c r="AA154" s="94" t="s">
        <v>25</v>
      </c>
      <c r="AB154" s="350"/>
      <c r="AI154" s="97">
        <v>134</v>
      </c>
      <c r="AJ154" s="111" t="s">
        <v>4837</v>
      </c>
      <c r="AK154" s="111">
        <v>1550000</v>
      </c>
      <c r="AL154" s="97">
        <v>2</v>
      </c>
      <c r="AM154" s="20">
        <f t="shared" si="66"/>
        <v>910</v>
      </c>
      <c r="AN154" s="115">
        <f t="shared" si="77"/>
        <v>1410500000</v>
      </c>
      <c r="AO154" s="20"/>
    </row>
    <row r="155" spans="5:45">
      <c r="G155" s="205" t="s">
        <v>5420</v>
      </c>
      <c r="H155" s="1">
        <v>1215000</v>
      </c>
      <c r="I155" t="s">
        <v>5446</v>
      </c>
      <c r="O155" s="94"/>
      <c r="P155" s="112"/>
      <c r="R155" s="167"/>
      <c r="S155" s="166"/>
      <c r="T155" s="166"/>
      <c r="U155" s="166" t="s">
        <v>25</v>
      </c>
      <c r="V155" s="166"/>
      <c r="W155" s="97">
        <f t="shared" si="50"/>
        <v>0</v>
      </c>
      <c r="X155" s="32">
        <f t="shared" si="75"/>
        <v>0</v>
      </c>
      <c r="Y155" s="32">
        <f t="shared" si="76"/>
        <v>0</v>
      </c>
      <c r="Z155" t="s">
        <v>25</v>
      </c>
      <c r="AA155" t="s">
        <v>25</v>
      </c>
      <c r="AB155" s="94" t="s">
        <v>25</v>
      </c>
      <c r="AI155" s="97">
        <v>135</v>
      </c>
      <c r="AJ155" s="111" t="s">
        <v>4793</v>
      </c>
      <c r="AK155" s="111">
        <v>250000</v>
      </c>
      <c r="AL155" s="97">
        <v>6</v>
      </c>
      <c r="AM155" s="20">
        <f t="shared" si="66"/>
        <v>908</v>
      </c>
      <c r="AN155" s="115">
        <f t="shared" si="77"/>
        <v>227000000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6"/>
        <v>902</v>
      </c>
      <c r="AN156" s="115">
        <f t="shared" si="77"/>
        <v>-43771786960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6"/>
        <v>888</v>
      </c>
      <c r="AN157" s="115">
        <f t="shared" si="77"/>
        <v>1864800000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887</v>
      </c>
      <c r="AN158" s="115">
        <f t="shared" si="77"/>
        <v>88700000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883</v>
      </c>
      <c r="AN159" s="115">
        <f t="shared" ref="AN159:AN168" si="79">AK159*AM159</f>
        <v>794700000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8"/>
        <v>883</v>
      </c>
      <c r="AN160" s="115">
        <f t="shared" si="79"/>
        <v>971300000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8"/>
        <v>883</v>
      </c>
      <c r="AN161" s="115">
        <f t="shared" si="79"/>
        <v>101545000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8"/>
        <v>883</v>
      </c>
      <c r="AN162" s="115">
        <f t="shared" si="79"/>
        <v>-971300000</v>
      </c>
      <c r="AO162" s="20" t="s">
        <v>4891</v>
      </c>
      <c r="AR162" t="s">
        <v>25</v>
      </c>
    </row>
    <row r="163" spans="7:44">
      <c r="G163" s="205" t="s">
        <v>5466</v>
      </c>
      <c r="H163" s="1">
        <v>12297318</v>
      </c>
      <c r="I163" t="s">
        <v>25</v>
      </c>
      <c r="O163" s="94"/>
      <c r="P163" s="112"/>
      <c r="Q163" s="112"/>
      <c r="R163" s="94" t="s">
        <v>25</v>
      </c>
      <c r="S163" s="94"/>
      <c r="T163" s="94"/>
      <c r="U163" s="94"/>
      <c r="V163" s="277" t="s">
        <v>4405</v>
      </c>
      <c r="W163" s="277" t="s">
        <v>4418</v>
      </c>
      <c r="X163" s="277" t="s">
        <v>4419</v>
      </c>
      <c r="Y163" t="s">
        <v>25</v>
      </c>
      <c r="Z163" t="s">
        <v>25</v>
      </c>
      <c r="AB163" t="s">
        <v>25</v>
      </c>
      <c r="AI163" s="97">
        <v>143</v>
      </c>
      <c r="AJ163" s="111" t="s">
        <v>4884</v>
      </c>
      <c r="AK163" s="111">
        <v>900000</v>
      </c>
      <c r="AL163" s="97">
        <v>1</v>
      </c>
      <c r="AM163" s="20">
        <f t="shared" si="78"/>
        <v>883</v>
      </c>
      <c r="AN163" s="115">
        <f t="shared" si="79"/>
        <v>794700000</v>
      </c>
      <c r="AO163" s="20" t="s">
        <v>4890</v>
      </c>
    </row>
    <row r="164" spans="7:44">
      <c r="G164" s="205" t="s">
        <v>5467</v>
      </c>
      <c r="H164" s="1">
        <v>8959644</v>
      </c>
      <c r="O164" s="94"/>
      <c r="P164" s="112"/>
      <c r="Q164" s="112"/>
      <c r="R164" s="94"/>
      <c r="S164" s="94"/>
      <c r="T164" s="94"/>
      <c r="U164" s="120">
        <f>W165-W170</f>
        <v>2702293</v>
      </c>
      <c r="V164" s="277" t="s">
        <v>743</v>
      </c>
      <c r="W164" s="277">
        <v>1495942</v>
      </c>
      <c r="X164" s="88">
        <f>W164*$U$546</f>
        <v>3500891027.8239865</v>
      </c>
      <c r="Y164">
        <f>X164*100/$X$170</f>
        <v>33.927688130768189</v>
      </c>
      <c r="Z164" t="s">
        <v>25</v>
      </c>
      <c r="AA164" t="s">
        <v>25</v>
      </c>
      <c r="AB164" t="s">
        <v>25</v>
      </c>
      <c r="AI164" s="97">
        <v>144</v>
      </c>
      <c r="AJ164" s="111" t="s">
        <v>4888</v>
      </c>
      <c r="AK164" s="111">
        <v>2000000</v>
      </c>
      <c r="AL164" s="97">
        <v>0</v>
      </c>
      <c r="AM164" s="20">
        <f t="shared" si="78"/>
        <v>882</v>
      </c>
      <c r="AN164" s="115">
        <f t="shared" si="79"/>
        <v>1764000000</v>
      </c>
      <c r="AO164" s="20"/>
    </row>
    <row r="165" spans="7:44">
      <c r="G165" s="205" t="s">
        <v>5468</v>
      </c>
      <c r="H165" s="111">
        <v>15154095.839328</v>
      </c>
      <c r="O165" s="94"/>
      <c r="P165" s="112"/>
      <c r="Q165" s="112"/>
      <c r="R165" t="s">
        <v>25</v>
      </c>
      <c r="U165" s="120"/>
      <c r="V165" s="277" t="s">
        <v>4407</v>
      </c>
      <c r="W165" s="277">
        <v>2702293</v>
      </c>
      <c r="X165" s="88">
        <f>W165*$U$546</f>
        <v>6324064247.3114357</v>
      </c>
      <c r="Y165" s="94">
        <f>X165*100/$X$170</f>
        <v>61.287505893916979</v>
      </c>
      <c r="Z165" t="s">
        <v>25</v>
      </c>
      <c r="AA165" t="s">
        <v>25</v>
      </c>
      <c r="AB165" t="s">
        <v>25</v>
      </c>
      <c r="AI165" s="97">
        <v>145</v>
      </c>
      <c r="AJ165" s="111" t="s">
        <v>4888</v>
      </c>
      <c r="AK165" s="111">
        <v>360000</v>
      </c>
      <c r="AL165" s="97">
        <v>1</v>
      </c>
      <c r="AM165" s="20">
        <f t="shared" si="78"/>
        <v>882</v>
      </c>
      <c r="AN165" s="115">
        <f t="shared" si="79"/>
        <v>317520000</v>
      </c>
      <c r="AO165" s="20"/>
    </row>
    <row r="166" spans="7:44">
      <c r="G166" s="205" t="s">
        <v>5473</v>
      </c>
      <c r="H166" s="111">
        <v>4108143</v>
      </c>
      <c r="O166" s="94"/>
      <c r="P166" s="112"/>
      <c r="Q166" s="112"/>
      <c r="R166" t="s">
        <v>25</v>
      </c>
      <c r="T166" t="s">
        <v>25</v>
      </c>
      <c r="U166" s="94">
        <f>W164+2857</f>
        <v>1498799</v>
      </c>
      <c r="V166" s="277" t="s">
        <v>4406</v>
      </c>
      <c r="W166" s="277">
        <v>48659</v>
      </c>
      <c r="X166" s="88">
        <f>W166*$U$546</f>
        <v>113874639.87433159</v>
      </c>
      <c r="Y166" s="94">
        <f>X166*100/$X$170</f>
        <v>1.1035771284949878</v>
      </c>
      <c r="Z166" t="s">
        <v>25</v>
      </c>
      <c r="AB166" t="s">
        <v>25</v>
      </c>
      <c r="AI166" s="97">
        <v>146</v>
      </c>
      <c r="AJ166" s="111" t="s">
        <v>4889</v>
      </c>
      <c r="AK166" s="111">
        <v>3000000</v>
      </c>
      <c r="AL166" s="97">
        <v>1</v>
      </c>
      <c r="AM166" s="20">
        <f t="shared" si="78"/>
        <v>881</v>
      </c>
      <c r="AN166" s="115">
        <f t="shared" si="79"/>
        <v>2643000000</v>
      </c>
      <c r="AO166" s="20"/>
    </row>
    <row r="167" spans="7:44">
      <c r="G167" s="205" t="s">
        <v>5475</v>
      </c>
      <c r="H167" s="111">
        <v>6000000</v>
      </c>
      <c r="O167" s="94"/>
      <c r="P167" s="112"/>
      <c r="Q167" s="112"/>
      <c r="R167" t="s">
        <v>25</v>
      </c>
      <c r="U167" s="94"/>
      <c r="V167" s="277" t="s">
        <v>1069</v>
      </c>
      <c r="W167" s="277">
        <v>162313</v>
      </c>
      <c r="X167" s="88">
        <f>W167*$U$546</f>
        <v>379854382.99024612</v>
      </c>
      <c r="Y167" s="94">
        <f>X167*100/$X$170</f>
        <v>3.681228846819848</v>
      </c>
      <c r="AA167" t="s">
        <v>25</v>
      </c>
      <c r="AI167" s="97">
        <v>147</v>
      </c>
      <c r="AJ167" s="111" t="s">
        <v>4887</v>
      </c>
      <c r="AK167" s="111">
        <v>-658226</v>
      </c>
      <c r="AL167" s="97">
        <v>1</v>
      </c>
      <c r="AM167" s="20">
        <f t="shared" si="78"/>
        <v>880</v>
      </c>
      <c r="AN167" s="115">
        <f t="shared" si="79"/>
        <v>-579238880</v>
      </c>
      <c r="AO167" s="20"/>
    </row>
    <row r="168" spans="7:44">
      <c r="G168" s="205" t="s">
        <v>5479</v>
      </c>
      <c r="H168" s="111">
        <v>8301786</v>
      </c>
      <c r="I168" t="s">
        <v>25</v>
      </c>
      <c r="O168" s="94"/>
      <c r="P168" s="112"/>
      <c r="Q168" s="112"/>
      <c r="U168" s="94">
        <f>W167+2977</f>
        <v>165290</v>
      </c>
      <c r="V168" s="277"/>
      <c r="W168" s="277"/>
      <c r="X168" s="277"/>
      <c r="Y168" s="113"/>
      <c r="Z168" t="s">
        <v>25</v>
      </c>
      <c r="AI168" s="97">
        <v>148</v>
      </c>
      <c r="AJ168" s="111" t="s">
        <v>4892</v>
      </c>
      <c r="AK168" s="111">
        <v>1000000</v>
      </c>
      <c r="AL168" s="97">
        <v>15</v>
      </c>
      <c r="AM168" s="20">
        <f t="shared" si="78"/>
        <v>879</v>
      </c>
      <c r="AN168" s="115">
        <f t="shared" si="79"/>
        <v>879000000</v>
      </c>
      <c r="AO168" s="20"/>
      <c r="AQ168" t="s">
        <v>25</v>
      </c>
    </row>
    <row r="169" spans="7:44">
      <c r="G169" s="205" t="s">
        <v>5483</v>
      </c>
      <c r="H169" s="111">
        <v>50725508.571864001</v>
      </c>
      <c r="P169" s="112"/>
      <c r="Q169" s="112"/>
      <c r="R169" t="s">
        <v>25</v>
      </c>
      <c r="T169" t="s">
        <v>25</v>
      </c>
      <c r="U169" s="94"/>
      <c r="V169" s="87"/>
      <c r="W169" s="87">
        <f>SUM(W164:W167)</f>
        <v>4409207</v>
      </c>
      <c r="X169" s="87"/>
      <c r="Y169" s="112" t="s">
        <v>25</v>
      </c>
      <c r="Z169" t="s">
        <v>25</v>
      </c>
      <c r="AA169" t="s">
        <v>25</v>
      </c>
      <c r="AI169" s="97">
        <v>149</v>
      </c>
      <c r="AJ169" s="111" t="s">
        <v>4917</v>
      </c>
      <c r="AK169" s="111">
        <v>1130250</v>
      </c>
      <c r="AL169" s="97">
        <v>5</v>
      </c>
      <c r="AM169" s="20">
        <f t="shared" si="66"/>
        <v>864</v>
      </c>
      <c r="AN169" s="115">
        <f t="shared" si="77"/>
        <v>976536000</v>
      </c>
      <c r="AO169" s="20"/>
    </row>
    <row r="170" spans="7:44">
      <c r="G170" s="205" t="s">
        <v>5484</v>
      </c>
      <c r="H170" s="111">
        <v>2281961.458596</v>
      </c>
      <c r="P170" s="112"/>
      <c r="Q170" s="112"/>
      <c r="R170" s="94" t="s">
        <v>25</v>
      </c>
      <c r="S170" s="94"/>
      <c r="T170" s="94" t="s">
        <v>25</v>
      </c>
      <c r="U170" s="94" t="s">
        <v>25</v>
      </c>
      <c r="V170" s="87"/>
      <c r="W170" s="87">
        <f>W169-V543</f>
        <v>0</v>
      </c>
      <c r="X170" s="140">
        <f>SUM(X164:X167)</f>
        <v>10318684298</v>
      </c>
      <c r="Y170" s="94"/>
      <c r="Z170" t="s">
        <v>25</v>
      </c>
      <c r="AA170" t="s">
        <v>25</v>
      </c>
      <c r="AF170" s="94" t="s">
        <v>25</v>
      </c>
      <c r="AI170" s="97">
        <v>150</v>
      </c>
      <c r="AJ170" s="111" t="s">
        <v>4925</v>
      </c>
      <c r="AK170" s="111">
        <v>206000</v>
      </c>
      <c r="AL170" s="97">
        <v>2</v>
      </c>
      <c r="AM170" s="20">
        <f t="shared" si="66"/>
        <v>859</v>
      </c>
      <c r="AN170" s="115">
        <f t="shared" si="77"/>
        <v>176954000</v>
      </c>
      <c r="AO170" s="20"/>
    </row>
    <row r="171" spans="7:44">
      <c r="G171" s="205" t="s">
        <v>5491</v>
      </c>
      <c r="H171" s="111">
        <v>10998285</v>
      </c>
      <c r="O171" s="112"/>
      <c r="P171" s="112"/>
      <c r="Q171" s="112"/>
      <c r="R171" s="94"/>
      <c r="S171" s="94"/>
      <c r="T171" s="94"/>
      <c r="U171" s="94" t="s">
        <v>25</v>
      </c>
      <c r="V171" s="87"/>
      <c r="W171" s="87" t="s">
        <v>5806</v>
      </c>
      <c r="X171" s="140">
        <f>S182-X167</f>
        <v>58628920.009753883</v>
      </c>
      <c r="Y171" s="94"/>
      <c r="Z171" t="s">
        <v>25</v>
      </c>
      <c r="AA171" t="s">
        <v>25</v>
      </c>
      <c r="AI171" s="97">
        <v>151</v>
      </c>
      <c r="AJ171" s="111" t="s">
        <v>4932</v>
      </c>
      <c r="AK171" s="111">
        <v>50000</v>
      </c>
      <c r="AL171" s="97">
        <v>2</v>
      </c>
      <c r="AM171" s="20">
        <f t="shared" si="66"/>
        <v>857</v>
      </c>
      <c r="AN171" s="115">
        <f t="shared" si="77"/>
        <v>42850000</v>
      </c>
      <c r="AO171" s="20"/>
    </row>
    <row r="172" spans="7:44">
      <c r="G172" s="205" t="s">
        <v>5492</v>
      </c>
      <c r="H172" s="111">
        <v>983018.96187300002</v>
      </c>
      <c r="O172" s="112"/>
      <c r="P172" s="112"/>
      <c r="Q172" s="112"/>
      <c r="R172" s="94" t="s">
        <v>25</v>
      </c>
      <c r="S172" s="94"/>
      <c r="T172" s="94"/>
      <c r="U172" s="94" t="s">
        <v>25</v>
      </c>
      <c r="V172" s="87"/>
      <c r="W172" s="87" t="s">
        <v>5805</v>
      </c>
      <c r="X172" s="140">
        <f>X166-X171</f>
        <v>55245719.864577711</v>
      </c>
      <c r="Y172" s="94"/>
      <c r="AA172" t="s">
        <v>25</v>
      </c>
      <c r="AB172" t="s">
        <v>25</v>
      </c>
      <c r="AI172" s="97">
        <v>152</v>
      </c>
      <c r="AJ172" s="111" t="s">
        <v>4936</v>
      </c>
      <c r="AK172" s="111">
        <v>105000</v>
      </c>
      <c r="AL172" s="97">
        <v>4</v>
      </c>
      <c r="AM172" s="20">
        <f t="shared" si="66"/>
        <v>855</v>
      </c>
      <c r="AN172" s="115">
        <f t="shared" si="77"/>
        <v>89775000</v>
      </c>
      <c r="AO172" s="20"/>
    </row>
    <row r="173" spans="7:44">
      <c r="G173" s="205" t="s">
        <v>5494</v>
      </c>
      <c r="H173" s="111">
        <v>17049271.032000002</v>
      </c>
      <c r="I173" s="94"/>
      <c r="O173" s="112"/>
      <c r="P173" s="112"/>
      <c r="Q173" s="112"/>
      <c r="R173" s="94" t="s">
        <v>25</v>
      </c>
      <c r="S173" s="94"/>
      <c r="T173" s="94" t="s">
        <v>25</v>
      </c>
      <c r="U173" s="94"/>
      <c r="V173" s="87"/>
      <c r="W173" s="87" t="s">
        <v>4912</v>
      </c>
      <c r="X173" s="140">
        <f>X164+X172-S181</f>
        <v>-212967625.3114357</v>
      </c>
      <c r="Y173" s="94"/>
      <c r="Z173" t="s">
        <v>25</v>
      </c>
      <c r="AI173" s="97">
        <v>153</v>
      </c>
      <c r="AJ173" s="111" t="s">
        <v>4940</v>
      </c>
      <c r="AK173" s="111">
        <v>5000000</v>
      </c>
      <c r="AL173" s="97">
        <v>1</v>
      </c>
      <c r="AM173" s="20">
        <f t="shared" si="66"/>
        <v>851</v>
      </c>
      <c r="AN173" s="115">
        <f t="shared" si="77"/>
        <v>4255000000</v>
      </c>
      <c r="AO173" s="20"/>
    </row>
    <row r="174" spans="7:44">
      <c r="G174" s="205" t="s">
        <v>5497</v>
      </c>
      <c r="H174" s="111">
        <v>6829998</v>
      </c>
      <c r="I174" s="94"/>
      <c r="P174" s="112"/>
      <c r="Q174" s="112"/>
      <c r="R174" s="94"/>
      <c r="S174" s="94"/>
      <c r="T174" s="94"/>
      <c r="U174" s="94"/>
      <c r="V174" s="87"/>
      <c r="W174" s="87"/>
      <c r="X174" s="140"/>
      <c r="Y174" s="113"/>
      <c r="Z174" t="s">
        <v>25</v>
      </c>
      <c r="AI174" s="97">
        <v>154</v>
      </c>
      <c r="AJ174" s="111" t="s">
        <v>4941</v>
      </c>
      <c r="AK174" s="111">
        <v>2500000</v>
      </c>
      <c r="AL174" s="97">
        <v>2</v>
      </c>
      <c r="AM174" s="20">
        <f t="shared" si="66"/>
        <v>850</v>
      </c>
      <c r="AN174" s="115">
        <f t="shared" si="77"/>
        <v>2125000000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6"/>
        <v>848</v>
      </c>
      <c r="AN175" s="243">
        <f t="shared" si="77"/>
        <v>-42400000000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6"/>
        <v>841</v>
      </c>
      <c r="AN176" s="115">
        <f t="shared" si="77"/>
        <v>8410000000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6"/>
        <v>829</v>
      </c>
      <c r="AN177" s="115">
        <f t="shared" si="77"/>
        <v>-13484514000</v>
      </c>
      <c r="AO177" s="20" t="s">
        <v>4968</v>
      </c>
      <c r="AR177" t="s">
        <v>25</v>
      </c>
    </row>
    <row r="178" spans="5:44">
      <c r="G178" s="205" t="s">
        <v>5532</v>
      </c>
      <c r="H178" s="111">
        <v>195059.35799999998</v>
      </c>
      <c r="J178" t="s">
        <v>25</v>
      </c>
      <c r="P178" s="112">
        <f>7341</f>
        <v>7341</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4"/>
      <c r="S179" s="94"/>
      <c r="T179" s="94"/>
      <c r="U179" s="111" t="s">
        <v>4417</v>
      </c>
      <c r="V179" s="54">
        <v>1000000</v>
      </c>
      <c r="W179" s="111">
        <v>239.024</v>
      </c>
      <c r="X179" s="111">
        <f t="shared" ref="X179:X280" si="80">V179*W179</f>
        <v>239024000</v>
      </c>
      <c r="Y179" s="97"/>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36" t="s">
        <v>4510</v>
      </c>
      <c r="S180" s="93">
        <f>SUM(N48:N57)</f>
        <v>6138331017</v>
      </c>
      <c r="U180" s="166" t="s">
        <v>4399</v>
      </c>
      <c r="V180" s="54">
        <v>5904</v>
      </c>
      <c r="W180" s="111">
        <v>237.148</v>
      </c>
      <c r="X180" s="111">
        <f t="shared" si="80"/>
        <v>1400121.7919999999</v>
      </c>
      <c r="Y180" s="97" t="s">
        <v>743</v>
      </c>
      <c r="AA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4408</v>
      </c>
      <c r="S181" s="93">
        <f>SUM(N27:N32)</f>
        <v>3769104373</v>
      </c>
      <c r="U181" s="166" t="s">
        <v>4205</v>
      </c>
      <c r="V181" s="166">
        <v>1000</v>
      </c>
      <c r="W181" s="111">
        <v>247.393</v>
      </c>
      <c r="X181" s="111">
        <f t="shared" si="80"/>
        <v>247393</v>
      </c>
      <c r="Y181" s="97" t="s">
        <v>743</v>
      </c>
      <c r="Z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4409</v>
      </c>
      <c r="S182" s="93">
        <f>SUM(N35:N36)</f>
        <v>438483303</v>
      </c>
      <c r="U182" s="378" t="s">
        <v>4443</v>
      </c>
      <c r="V182" s="378">
        <v>8071</v>
      </c>
      <c r="W182" s="90">
        <v>247.797</v>
      </c>
      <c r="X182" s="90">
        <f t="shared" si="80"/>
        <v>1999969.5870000001</v>
      </c>
      <c r="Y182" s="89" t="s">
        <v>4406</v>
      </c>
      <c r="Z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t="s">
        <v>4410</v>
      </c>
      <c r="S183" s="93">
        <f>N47</f>
        <v>314</v>
      </c>
      <c r="U183" s="166" t="s">
        <v>4443</v>
      </c>
      <c r="V183" s="166">
        <v>53672</v>
      </c>
      <c r="W183" s="111">
        <v>247.797</v>
      </c>
      <c r="X183" s="111">
        <f t="shared" si="80"/>
        <v>13299760.584000001</v>
      </c>
      <c r="Y183" s="97" t="s">
        <v>452</v>
      </c>
      <c r="Z183" t="s">
        <v>25</v>
      </c>
      <c r="AI183" s="97">
        <v>163</v>
      </c>
      <c r="AJ183" s="111" t="s">
        <v>5016</v>
      </c>
      <c r="AK183" s="111">
        <v>-312598</v>
      </c>
      <c r="AL183" s="97">
        <v>0</v>
      </c>
      <c r="AM183" s="20">
        <f t="shared" ref="AM183:AM190" si="81">AM184+AL183</f>
        <v>795</v>
      </c>
      <c r="AN183" s="115">
        <f t="shared" ref="AN183:AN190" si="82">AK183*AM183</f>
        <v>-248515410</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80"/>
        <v>999869.07000000007</v>
      </c>
      <c r="Y184" s="89" t="s">
        <v>4406</v>
      </c>
      <c r="AB184" t="s">
        <v>25</v>
      </c>
      <c r="AC184" t="s">
        <v>25</v>
      </c>
      <c r="AI184" s="97">
        <v>164</v>
      </c>
      <c r="AJ184" s="111" t="s">
        <v>5016</v>
      </c>
      <c r="AK184" s="111">
        <v>50000</v>
      </c>
      <c r="AL184" s="97">
        <v>6</v>
      </c>
      <c r="AM184" s="20">
        <f t="shared" si="81"/>
        <v>795</v>
      </c>
      <c r="AN184" s="115">
        <f t="shared" si="82"/>
        <v>39750000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80"/>
        <v>2268792.9300000002</v>
      </c>
      <c r="Y185" s="97" t="s">
        <v>452</v>
      </c>
      <c r="AA185" t="s">
        <v>25</v>
      </c>
      <c r="AI185" s="97">
        <v>165</v>
      </c>
      <c r="AJ185" s="111" t="s">
        <v>5026</v>
      </c>
      <c r="AK185" s="111">
        <v>-200000</v>
      </c>
      <c r="AL185" s="97">
        <v>0</v>
      </c>
      <c r="AM185" s="20">
        <f t="shared" si="81"/>
        <v>789</v>
      </c>
      <c r="AN185" s="115">
        <f t="shared" si="82"/>
        <v>-157800000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80"/>
        <v>1999909.98</v>
      </c>
      <c r="Y186" s="89" t="s">
        <v>4406</v>
      </c>
      <c r="AI186" s="97">
        <v>166</v>
      </c>
      <c r="AJ186" s="111" t="s">
        <v>5026</v>
      </c>
      <c r="AK186" s="111">
        <v>200000</v>
      </c>
      <c r="AL186" s="97">
        <v>3</v>
      </c>
      <c r="AM186" s="20">
        <f t="shared" si="81"/>
        <v>789</v>
      </c>
      <c r="AN186" s="115">
        <f t="shared" si="82"/>
        <v>157800000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80"/>
        <v>6779621.4499999993</v>
      </c>
      <c r="Y187" s="97" t="s">
        <v>743</v>
      </c>
      <c r="Z187" s="120" t="s">
        <v>25</v>
      </c>
      <c r="AI187" s="97">
        <v>167</v>
      </c>
      <c r="AJ187" s="111" t="s">
        <v>5033</v>
      </c>
      <c r="AK187" s="111">
        <v>200000</v>
      </c>
      <c r="AL187" s="97">
        <v>3</v>
      </c>
      <c r="AM187" s="20">
        <f t="shared" si="81"/>
        <v>786</v>
      </c>
      <c r="AN187" s="115">
        <f t="shared" si="82"/>
        <v>157200000</v>
      </c>
      <c r="AO187" s="20"/>
    </row>
    <row r="188" spans="5:44">
      <c r="G188" s="205" t="s">
        <v>5582</v>
      </c>
      <c r="H188" s="111">
        <v>16042676.656608</v>
      </c>
      <c r="O188" s="112"/>
      <c r="P188" s="112"/>
      <c r="Q188" s="112"/>
      <c r="R188" s="97" t="s">
        <v>7078</v>
      </c>
      <c r="S188" s="93">
        <v>-2593</v>
      </c>
      <c r="T188" s="94"/>
      <c r="U188" s="378" t="s">
        <v>977</v>
      </c>
      <c r="V188" s="378">
        <v>12337</v>
      </c>
      <c r="W188" s="90">
        <v>243.16300000000001</v>
      </c>
      <c r="X188" s="90">
        <f t="shared" si="80"/>
        <v>2999901.9310000003</v>
      </c>
      <c r="Y188" s="89" t="s">
        <v>4406</v>
      </c>
      <c r="AI188" s="97">
        <v>168</v>
      </c>
      <c r="AJ188" s="111" t="s">
        <v>5036</v>
      </c>
      <c r="AK188" s="111">
        <v>30000</v>
      </c>
      <c r="AL188" s="97">
        <v>7</v>
      </c>
      <c r="AM188" s="20">
        <f t="shared" si="81"/>
        <v>783</v>
      </c>
      <c r="AN188" s="115">
        <f t="shared" si="82"/>
        <v>23490000</v>
      </c>
      <c r="AO188" s="20"/>
    </row>
    <row r="189" spans="5:44">
      <c r="G189" s="205" t="s">
        <v>5583</v>
      </c>
      <c r="H189" s="111">
        <v>18403291.448284</v>
      </c>
      <c r="O189" t="s">
        <v>25</v>
      </c>
      <c r="P189" s="112"/>
      <c r="Q189" s="112"/>
      <c r="R189" s="97" t="s">
        <v>7101</v>
      </c>
      <c r="S189" s="93">
        <f>-(8479*P48)</f>
        <v>-11090532</v>
      </c>
      <c r="T189" s="94"/>
      <c r="U189" s="166" t="s">
        <v>4528</v>
      </c>
      <c r="V189" s="166">
        <v>-16118</v>
      </c>
      <c r="W189" s="111">
        <v>248.17</v>
      </c>
      <c r="X189" s="111">
        <f t="shared" si="80"/>
        <v>-4000004.0599999996</v>
      </c>
      <c r="Y189" s="97" t="s">
        <v>743</v>
      </c>
      <c r="Z189" t="s">
        <v>25</v>
      </c>
      <c r="AI189" s="97">
        <v>169</v>
      </c>
      <c r="AJ189" s="111" t="s">
        <v>4995</v>
      </c>
      <c r="AK189" s="111">
        <v>-10000000</v>
      </c>
      <c r="AL189" s="97">
        <v>0</v>
      </c>
      <c r="AM189" s="20">
        <f t="shared" si="81"/>
        <v>776</v>
      </c>
      <c r="AN189" s="115">
        <f t="shared" si="82"/>
        <v>-7760000000</v>
      </c>
      <c r="AO189" s="20" t="s">
        <v>4955</v>
      </c>
    </row>
    <row r="190" spans="5:44">
      <c r="G190" s="205" t="s">
        <v>5586</v>
      </c>
      <c r="H190" s="111">
        <v>10561447.246918</v>
      </c>
      <c r="P190" s="112"/>
      <c r="Q190" s="112"/>
      <c r="R190" s="36" t="s">
        <v>7083</v>
      </c>
      <c r="S190" s="93">
        <f>-5000*P48</f>
        <v>-6540000</v>
      </c>
      <c r="T190" s="113" t="s">
        <v>25</v>
      </c>
      <c r="U190" s="166" t="s">
        <v>4549</v>
      </c>
      <c r="V190" s="166">
        <v>101681</v>
      </c>
      <c r="W190" s="111">
        <v>246.5711</v>
      </c>
      <c r="X190" s="111">
        <f t="shared" si="80"/>
        <v>25071596.019099999</v>
      </c>
      <c r="Y190" s="97" t="s">
        <v>452</v>
      </c>
      <c r="AI190" s="97">
        <v>170</v>
      </c>
      <c r="AJ190" s="111" t="s">
        <v>4995</v>
      </c>
      <c r="AK190" s="111">
        <v>6000000</v>
      </c>
      <c r="AL190" s="97">
        <v>8</v>
      </c>
      <c r="AM190" s="20">
        <f t="shared" si="81"/>
        <v>776</v>
      </c>
      <c r="AN190" s="115">
        <f t="shared" si="82"/>
        <v>4656000000</v>
      </c>
      <c r="AO190" s="20"/>
      <c r="AQ190" t="s">
        <v>25</v>
      </c>
    </row>
    <row r="191" spans="5:44">
      <c r="G191" s="205" t="s">
        <v>5587</v>
      </c>
      <c r="H191" s="111">
        <v>1226811.9176660001</v>
      </c>
      <c r="J191" t="s">
        <v>25</v>
      </c>
      <c r="K191" t="s">
        <v>25</v>
      </c>
      <c r="O191" t="s">
        <v>25</v>
      </c>
      <c r="P191" s="112"/>
      <c r="Q191" s="112"/>
      <c r="R191" s="97" t="s">
        <v>7126</v>
      </c>
      <c r="S191" s="93">
        <f>-7341*P48</f>
        <v>-9602028</v>
      </c>
      <c r="T191" s="120" t="s">
        <v>25</v>
      </c>
      <c r="U191" s="166" t="s">
        <v>4553</v>
      </c>
      <c r="V191" s="166">
        <v>66606</v>
      </c>
      <c r="W191" s="111">
        <v>251.131</v>
      </c>
      <c r="X191" s="111">
        <f t="shared" si="80"/>
        <v>16726831.386</v>
      </c>
      <c r="Y191" s="97" t="s">
        <v>743</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80"/>
        <v>42236971.402499996</v>
      </c>
      <c r="Y192" s="97" t="s">
        <v>452</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7"/>
      <c r="S193" s="93"/>
      <c r="T193" s="113"/>
      <c r="U193" s="166" t="s">
        <v>4558</v>
      </c>
      <c r="V193" s="166">
        <v>189227</v>
      </c>
      <c r="W193" s="111">
        <v>245.52809999999999</v>
      </c>
      <c r="X193" s="111">
        <f t="shared" si="80"/>
        <v>46460545.778700002</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R194" s="97"/>
      <c r="S194" s="93"/>
      <c r="T194" s="113"/>
      <c r="U194" s="166" t="s">
        <v>4559</v>
      </c>
      <c r="V194" s="166">
        <v>79720</v>
      </c>
      <c r="W194" s="111">
        <v>246.6568</v>
      </c>
      <c r="X194" s="111">
        <f t="shared" si="80"/>
        <v>19663480.096000001</v>
      </c>
      <c r="Y194" s="97" t="s">
        <v>452</v>
      </c>
      <c r="Z194" s="8" t="s">
        <v>25</v>
      </c>
      <c r="AA194" t="s">
        <v>25</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97" t="s">
        <v>4416</v>
      </c>
      <c r="S195" s="93">
        <f>SUM(S180:S194)</f>
        <v>10318684298</v>
      </c>
      <c r="U195" s="166" t="s">
        <v>4559</v>
      </c>
      <c r="V195" s="166">
        <v>79720</v>
      </c>
      <c r="W195" s="111">
        <v>246.6568</v>
      </c>
      <c r="X195" s="111">
        <f t="shared" si="80"/>
        <v>19663480.096000001</v>
      </c>
      <c r="Y195" s="97" t="s">
        <v>743</v>
      </c>
      <c r="AI195" s="97">
        <v>175</v>
      </c>
      <c r="AJ195" s="111" t="s">
        <v>5105</v>
      </c>
      <c r="AK195" s="111">
        <v>-400000</v>
      </c>
      <c r="AL195" s="97">
        <v>6</v>
      </c>
      <c r="AM195" s="20">
        <f t="shared" ref="AM195:AM203" si="83">AM196+AL195</f>
        <v>758</v>
      </c>
      <c r="AN195" s="115">
        <f t="shared" ref="AN195:AN203" si="84">AK195*AM195</f>
        <v>-303200000</v>
      </c>
      <c r="AO195" s="20"/>
    </row>
    <row r="196" spans="7:46">
      <c r="G196" s="205" t="s">
        <v>5596</v>
      </c>
      <c r="H196" s="111">
        <v>4158090.8935679998</v>
      </c>
      <c r="P196" s="112"/>
      <c r="Q196" s="112"/>
      <c r="R196" s="94"/>
      <c r="U196" s="166" t="s">
        <v>4580</v>
      </c>
      <c r="V196" s="166">
        <v>17769</v>
      </c>
      <c r="W196" s="111">
        <v>246.17877999999999</v>
      </c>
      <c r="X196" s="111">
        <f t="shared" si="80"/>
        <v>4374350.7418200001</v>
      </c>
      <c r="Y196" s="97" t="s">
        <v>743</v>
      </c>
      <c r="AI196" s="97">
        <v>176</v>
      </c>
      <c r="AJ196" s="111" t="s">
        <v>5112</v>
      </c>
      <c r="AK196" s="111">
        <v>1300000</v>
      </c>
      <c r="AL196" s="97">
        <v>0</v>
      </c>
      <c r="AM196" s="20">
        <f t="shared" si="83"/>
        <v>752</v>
      </c>
      <c r="AN196" s="115">
        <f t="shared" si="84"/>
        <v>977600000</v>
      </c>
      <c r="AO196" s="20"/>
      <c r="AS196" t="s">
        <v>25</v>
      </c>
    </row>
    <row r="197" spans="7:46">
      <c r="G197" s="205" t="s">
        <v>5600</v>
      </c>
      <c r="H197" s="111">
        <v>110770524.97879399</v>
      </c>
      <c r="P197" s="112"/>
      <c r="Q197" s="112"/>
      <c r="U197" s="166" t="s">
        <v>4580</v>
      </c>
      <c r="V197" s="166">
        <v>17769</v>
      </c>
      <c r="W197" s="111">
        <v>246.17877999999999</v>
      </c>
      <c r="X197" s="111">
        <f t="shared" si="80"/>
        <v>4374350.7418200001</v>
      </c>
      <c r="Y197" s="97" t="s">
        <v>452</v>
      </c>
      <c r="AI197" s="97">
        <v>177</v>
      </c>
      <c r="AJ197" s="111" t="s">
        <v>5112</v>
      </c>
      <c r="AK197" s="111">
        <v>230000</v>
      </c>
      <c r="AL197" s="97">
        <v>1</v>
      </c>
      <c r="AM197" s="20">
        <f t="shared" si="83"/>
        <v>752</v>
      </c>
      <c r="AN197" s="115">
        <f t="shared" si="84"/>
        <v>172960000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80"/>
        <v>3000103.5610799999</v>
      </c>
      <c r="Y198" s="89" t="s">
        <v>4406</v>
      </c>
      <c r="AI198" s="97">
        <v>178</v>
      </c>
      <c r="AJ198" s="111" t="s">
        <v>5115</v>
      </c>
      <c r="AK198" s="111">
        <v>880000</v>
      </c>
      <c r="AL198" s="97">
        <v>4</v>
      </c>
      <c r="AM198" s="20">
        <f t="shared" si="83"/>
        <v>751</v>
      </c>
      <c r="AN198" s="115">
        <f t="shared" si="84"/>
        <v>660880000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80"/>
        <v>6550390.2617999995</v>
      </c>
      <c r="Y199" s="97" t="s">
        <v>743</v>
      </c>
      <c r="AI199" s="97">
        <v>179</v>
      </c>
      <c r="AJ199" s="111" t="s">
        <v>5119</v>
      </c>
      <c r="AK199" s="111">
        <v>-900000</v>
      </c>
      <c r="AL199" s="97">
        <v>1</v>
      </c>
      <c r="AM199" s="20">
        <f t="shared" si="83"/>
        <v>747</v>
      </c>
      <c r="AN199" s="115">
        <f t="shared" si="84"/>
        <v>-672300000</v>
      </c>
      <c r="AO199" s="20"/>
    </row>
    <row r="200" spans="7:46">
      <c r="G200" s="205" t="s">
        <v>5619</v>
      </c>
      <c r="H200" s="111">
        <v>3577366.94</v>
      </c>
      <c r="Q200" s="112"/>
      <c r="R200" s="205"/>
      <c r="S200" s="205" t="s">
        <v>4399</v>
      </c>
      <c r="T200" s="111">
        <v>3000000</v>
      </c>
      <c r="U200" s="166" t="s">
        <v>4591</v>
      </c>
      <c r="V200" s="166">
        <v>27363</v>
      </c>
      <c r="W200" s="111">
        <v>239.3886</v>
      </c>
      <c r="X200" s="111">
        <f t="shared" si="80"/>
        <v>6550390.2617999995</v>
      </c>
      <c r="Y200" s="97" t="s">
        <v>452</v>
      </c>
      <c r="AI200" s="97">
        <v>180</v>
      </c>
      <c r="AJ200" s="111" t="s">
        <v>975</v>
      </c>
      <c r="AK200" s="111">
        <v>-3500000</v>
      </c>
      <c r="AL200" s="97">
        <v>1</v>
      </c>
      <c r="AM200" s="20">
        <f t="shared" si="83"/>
        <v>746</v>
      </c>
      <c r="AN200" s="115">
        <f t="shared" si="84"/>
        <v>-2611000000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80"/>
        <v>6650769.9555000002</v>
      </c>
      <c r="Y201" s="97" t="s">
        <v>743</v>
      </c>
      <c r="AI201" s="97">
        <v>181</v>
      </c>
      <c r="AJ201" s="111" t="s">
        <v>4253</v>
      </c>
      <c r="AK201" s="111">
        <v>-1600000</v>
      </c>
      <c r="AL201" s="97">
        <v>1</v>
      </c>
      <c r="AM201" s="20">
        <f t="shared" si="83"/>
        <v>745</v>
      </c>
      <c r="AN201" s="115">
        <f t="shared" si="84"/>
        <v>-1192000000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80"/>
        <v>7054853.2560000001</v>
      </c>
      <c r="Y202" s="97" t="s">
        <v>452</v>
      </c>
      <c r="AI202" s="97">
        <v>182</v>
      </c>
      <c r="AJ202" s="111" t="s">
        <v>5124</v>
      </c>
      <c r="AK202" s="111">
        <v>-800000</v>
      </c>
      <c r="AL202" s="97">
        <v>7</v>
      </c>
      <c r="AM202" s="20">
        <f t="shared" si="83"/>
        <v>744</v>
      </c>
      <c r="AN202" s="115">
        <f t="shared" si="84"/>
        <v>-595200000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80"/>
        <v>2145690.19197</v>
      </c>
      <c r="Y203" s="97" t="s">
        <v>743</v>
      </c>
      <c r="AI203" s="97">
        <v>183</v>
      </c>
      <c r="AJ203" s="111" t="s">
        <v>5132</v>
      </c>
      <c r="AK203" s="111">
        <v>50000</v>
      </c>
      <c r="AL203" s="97">
        <v>2</v>
      </c>
      <c r="AM203" s="20">
        <f t="shared" si="83"/>
        <v>737</v>
      </c>
      <c r="AN203" s="115">
        <f t="shared" si="84"/>
        <v>36850000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80"/>
        <v>2145690.19197</v>
      </c>
      <c r="Y204" s="97" t="s">
        <v>452</v>
      </c>
      <c r="AI204" s="97">
        <v>184</v>
      </c>
      <c r="AJ204" s="111" t="s">
        <v>5134</v>
      </c>
      <c r="AK204" s="111">
        <v>400000</v>
      </c>
      <c r="AL204" s="97">
        <v>8</v>
      </c>
      <c r="AM204" s="20">
        <f t="shared" ref="AM204:AM213" si="85">AM205+AL204</f>
        <v>735</v>
      </c>
      <c r="AN204" s="115">
        <f t="shared" ref="AN204:AN213" si="86">AK204*AM204</f>
        <v>294000000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80"/>
        <v>4369608.0892000003</v>
      </c>
      <c r="Y205" s="97" t="s">
        <v>743</v>
      </c>
      <c r="AI205" s="97">
        <v>185</v>
      </c>
      <c r="AJ205" s="111" t="s">
        <v>5110</v>
      </c>
      <c r="AK205" s="111">
        <v>-10000000</v>
      </c>
      <c r="AL205" s="97">
        <v>0</v>
      </c>
      <c r="AM205" s="20">
        <f t="shared" si="85"/>
        <v>727</v>
      </c>
      <c r="AN205" s="115">
        <f t="shared" si="86"/>
        <v>-7270000000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80"/>
        <v>4369608.0892000003</v>
      </c>
      <c r="Y206" s="97" t="s">
        <v>452</v>
      </c>
      <c r="AI206" s="97">
        <v>186</v>
      </c>
      <c r="AJ206" s="111" t="s">
        <v>5110</v>
      </c>
      <c r="AK206" s="111">
        <v>3000000</v>
      </c>
      <c r="AL206" s="97">
        <v>1</v>
      </c>
      <c r="AM206" s="20">
        <f t="shared" si="85"/>
        <v>727</v>
      </c>
      <c r="AN206" s="115">
        <f t="shared" si="86"/>
        <v>2181000000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80"/>
        <v>8797507.7134000007</v>
      </c>
      <c r="Y207" s="97" t="s">
        <v>743</v>
      </c>
      <c r="AI207" s="97">
        <v>187</v>
      </c>
      <c r="AJ207" s="111" t="s">
        <v>5146</v>
      </c>
      <c r="AK207" s="111">
        <v>500000</v>
      </c>
      <c r="AL207" s="97">
        <v>23</v>
      </c>
      <c r="AM207" s="20">
        <f t="shared" si="85"/>
        <v>726</v>
      </c>
      <c r="AN207" s="115">
        <f t="shared" si="86"/>
        <v>363000000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80"/>
        <v>8797507.7134000007</v>
      </c>
      <c r="Y208" s="97" t="s">
        <v>452</v>
      </c>
      <c r="AA208" t="s">
        <v>25</v>
      </c>
      <c r="AI208" s="97">
        <v>188</v>
      </c>
      <c r="AJ208" s="111" t="s">
        <v>5167</v>
      </c>
      <c r="AK208" s="111">
        <v>101268</v>
      </c>
      <c r="AL208" s="97">
        <v>1</v>
      </c>
      <c r="AM208" s="20">
        <f t="shared" si="85"/>
        <v>703</v>
      </c>
      <c r="AN208" s="115">
        <f t="shared" si="86"/>
        <v>71191404</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80"/>
        <v>6667631.2002000008</v>
      </c>
      <c r="Y209" s="97" t="s">
        <v>743</v>
      </c>
      <c r="AI209" s="97">
        <v>189</v>
      </c>
      <c r="AJ209" s="111" t="s">
        <v>5170</v>
      </c>
      <c r="AK209" s="111">
        <v>101000</v>
      </c>
      <c r="AL209" s="97">
        <v>34</v>
      </c>
      <c r="AM209" s="20">
        <f t="shared" si="85"/>
        <v>702</v>
      </c>
      <c r="AN209" s="115">
        <f t="shared" si="86"/>
        <v>70902000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80"/>
        <v>6667631.2002000008</v>
      </c>
      <c r="Y210" s="97" t="s">
        <v>452</v>
      </c>
      <c r="Z210" t="s">
        <v>25</v>
      </c>
      <c r="AI210" s="97">
        <v>190</v>
      </c>
      <c r="AJ210" s="111" t="s">
        <v>5195</v>
      </c>
      <c r="AK210" s="111">
        <v>-488602</v>
      </c>
      <c r="AL210" s="97">
        <v>5</v>
      </c>
      <c r="AM210" s="20">
        <f t="shared" si="85"/>
        <v>668</v>
      </c>
      <c r="AN210" s="115">
        <f t="shared" si="86"/>
        <v>-326386136</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80"/>
        <v>8981064.8900000006</v>
      </c>
      <c r="Y211" s="97" t="s">
        <v>743</v>
      </c>
      <c r="AI211" s="97">
        <v>191</v>
      </c>
      <c r="AJ211" s="111" t="s">
        <v>5209</v>
      </c>
      <c r="AK211" s="111">
        <v>360000</v>
      </c>
      <c r="AL211" s="97">
        <v>10</v>
      </c>
      <c r="AM211" s="20">
        <f t="shared" si="85"/>
        <v>663</v>
      </c>
      <c r="AN211" s="115">
        <f t="shared" si="86"/>
        <v>238680000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80"/>
        <v>8981064.8900000006</v>
      </c>
      <c r="Y212" s="97" t="s">
        <v>452</v>
      </c>
      <c r="Z212" s="94" t="s">
        <v>25</v>
      </c>
      <c r="AI212" s="97">
        <v>192</v>
      </c>
      <c r="AJ212" s="111" t="s">
        <v>5219</v>
      </c>
      <c r="AK212" s="111">
        <v>-3600000</v>
      </c>
      <c r="AL212" s="97">
        <v>4</v>
      </c>
      <c r="AM212" s="20">
        <f t="shared" si="85"/>
        <v>653</v>
      </c>
      <c r="AN212" s="115">
        <f t="shared" si="86"/>
        <v>-2350800000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80"/>
        <v>9181620.3599999994</v>
      </c>
      <c r="Y213" s="97" t="s">
        <v>743</v>
      </c>
      <c r="Z213" t="s">
        <v>25</v>
      </c>
      <c r="AI213" s="97">
        <v>193</v>
      </c>
      <c r="AJ213" s="111" t="s">
        <v>5225</v>
      </c>
      <c r="AK213" s="111">
        <v>-1000000</v>
      </c>
      <c r="AL213" s="97">
        <v>5</v>
      </c>
      <c r="AM213" s="20">
        <f t="shared" si="85"/>
        <v>649</v>
      </c>
      <c r="AN213" s="115">
        <f t="shared" si="86"/>
        <v>-649000000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80"/>
        <v>9181620.3599999994</v>
      </c>
      <c r="Y214" s="97" t="s">
        <v>452</v>
      </c>
      <c r="AI214" s="97">
        <v>194</v>
      </c>
      <c r="AJ214" s="111" t="s">
        <v>5230</v>
      </c>
      <c r="AK214" s="111">
        <v>360000</v>
      </c>
      <c r="AL214" s="97">
        <v>2</v>
      </c>
      <c r="AM214" s="20">
        <f t="shared" ref="AM214:AM274" si="87">AM215+AL214</f>
        <v>644</v>
      </c>
      <c r="AN214" s="115">
        <f t="shared" ref="AN214:AN274" si="88">AK214*AM214</f>
        <v>231840000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80"/>
        <v>11811186.475</v>
      </c>
      <c r="Y215" s="97" t="s">
        <v>743</v>
      </c>
      <c r="AI215" s="97">
        <v>195</v>
      </c>
      <c r="AJ215" s="111" t="s">
        <v>5235</v>
      </c>
      <c r="AK215" s="111">
        <v>2000000</v>
      </c>
      <c r="AL215" s="97">
        <v>1</v>
      </c>
      <c r="AM215" s="20">
        <f t="shared" si="87"/>
        <v>642</v>
      </c>
      <c r="AN215" s="115">
        <f t="shared" si="88"/>
        <v>1284000000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80"/>
        <v>11811186.475</v>
      </c>
      <c r="Y216" s="97" t="s">
        <v>452</v>
      </c>
      <c r="AI216" s="97">
        <v>196</v>
      </c>
      <c r="AJ216" s="111" t="s">
        <v>5237</v>
      </c>
      <c r="AK216" s="111">
        <v>20000000</v>
      </c>
      <c r="AL216" s="97">
        <v>0</v>
      </c>
      <c r="AM216" s="20">
        <f t="shared" si="87"/>
        <v>641</v>
      </c>
      <c r="AN216" s="115">
        <f t="shared" si="88"/>
        <v>12820000000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80"/>
        <v>41247832.126000002</v>
      </c>
      <c r="Y217" s="97" t="s">
        <v>743</v>
      </c>
      <c r="Z217" t="s">
        <v>25</v>
      </c>
      <c r="AI217" s="97">
        <v>197</v>
      </c>
      <c r="AJ217" s="111" t="s">
        <v>5237</v>
      </c>
      <c r="AK217" s="111">
        <v>-4700000</v>
      </c>
      <c r="AL217" s="97">
        <v>1</v>
      </c>
      <c r="AM217" s="20">
        <f t="shared" si="87"/>
        <v>641</v>
      </c>
      <c r="AN217" s="115">
        <f t="shared" si="88"/>
        <v>-3012700000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80"/>
        <v>41247832.126000002</v>
      </c>
      <c r="Y218" s="97" t="s">
        <v>452</v>
      </c>
      <c r="AB218" t="s">
        <v>25</v>
      </c>
      <c r="AI218" s="97">
        <v>198</v>
      </c>
      <c r="AJ218" s="111" t="s">
        <v>5240</v>
      </c>
      <c r="AK218" s="111">
        <v>3000000</v>
      </c>
      <c r="AL218" s="97">
        <v>4</v>
      </c>
      <c r="AM218" s="20">
        <f t="shared" si="87"/>
        <v>640</v>
      </c>
      <c r="AN218" s="115">
        <f t="shared" si="88"/>
        <v>1920000000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80"/>
        <v>37328539.346100003</v>
      </c>
      <c r="Y219" s="97" t="s">
        <v>743</v>
      </c>
      <c r="AA219" t="s">
        <v>25</v>
      </c>
      <c r="AI219" s="97">
        <v>199</v>
      </c>
      <c r="AJ219" s="111" t="s">
        <v>5242</v>
      </c>
      <c r="AK219" s="111">
        <v>1500000</v>
      </c>
      <c r="AL219" s="97">
        <v>1</v>
      </c>
      <c r="AM219" s="20">
        <f t="shared" si="87"/>
        <v>636</v>
      </c>
      <c r="AN219" s="115">
        <f t="shared" si="88"/>
        <v>954000000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80"/>
        <v>37328539.346100003</v>
      </c>
      <c r="Y220" s="97" t="s">
        <v>452</v>
      </c>
      <c r="AI220" s="97">
        <v>200</v>
      </c>
      <c r="AJ220" s="111" t="s">
        <v>5244</v>
      </c>
      <c r="AK220" s="111">
        <v>30000000</v>
      </c>
      <c r="AL220" s="97">
        <v>33</v>
      </c>
      <c r="AM220" s="20">
        <f t="shared" si="87"/>
        <v>635</v>
      </c>
      <c r="AN220" s="115">
        <f t="shared" si="88"/>
        <v>19050000000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80"/>
        <v>49999818</v>
      </c>
      <c r="Y221" s="97" t="s">
        <v>4670</v>
      </c>
      <c r="Z221" t="s">
        <v>25</v>
      </c>
      <c r="AI221" s="97">
        <v>201</v>
      </c>
      <c r="AJ221" s="111" t="s">
        <v>5318</v>
      </c>
      <c r="AK221" s="111">
        <v>3000000</v>
      </c>
      <c r="AL221" s="97">
        <v>1</v>
      </c>
      <c r="AM221" s="20">
        <f t="shared" si="87"/>
        <v>602</v>
      </c>
      <c r="AN221" s="115">
        <f t="shared" si="88"/>
        <v>1806000000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80"/>
        <v>651866.696</v>
      </c>
      <c r="Y222" s="97" t="s">
        <v>4671</v>
      </c>
      <c r="AI222" s="97">
        <v>202</v>
      </c>
      <c r="AJ222" s="111" t="s">
        <v>5319</v>
      </c>
      <c r="AK222" s="111">
        <v>7000000</v>
      </c>
      <c r="AL222" s="97">
        <v>4</v>
      </c>
      <c r="AM222" s="20">
        <f t="shared" si="87"/>
        <v>601</v>
      </c>
      <c r="AN222" s="115">
        <f t="shared" si="88"/>
        <v>4207000000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80"/>
        <v>-2999869.5300000003</v>
      </c>
      <c r="Y223" s="97" t="s">
        <v>4711</v>
      </c>
      <c r="AB223" t="s">
        <v>25</v>
      </c>
      <c r="AI223" s="97">
        <v>203</v>
      </c>
      <c r="AJ223" s="111" t="s">
        <v>5327</v>
      </c>
      <c r="AK223" s="111">
        <v>8800000</v>
      </c>
      <c r="AL223" s="97">
        <v>2</v>
      </c>
      <c r="AM223" s="20">
        <f t="shared" si="87"/>
        <v>597</v>
      </c>
      <c r="AN223" s="115">
        <f t="shared" si="88"/>
        <v>5253600000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80"/>
        <v>2999869.5300000003</v>
      </c>
      <c r="Y224" s="97" t="s">
        <v>4712</v>
      </c>
      <c r="AI224" s="97">
        <v>204</v>
      </c>
      <c r="AJ224" s="111" t="s">
        <v>5332</v>
      </c>
      <c r="AK224" s="111">
        <v>40000000</v>
      </c>
      <c r="AL224" s="97">
        <v>8</v>
      </c>
      <c r="AM224" s="20">
        <f t="shared" si="87"/>
        <v>595</v>
      </c>
      <c r="AN224" s="115">
        <f t="shared" si="88"/>
        <v>23800000000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80"/>
        <v>68429.399999999994</v>
      </c>
      <c r="Y225" s="97" t="s">
        <v>452</v>
      </c>
      <c r="AI225" s="97">
        <v>205</v>
      </c>
      <c r="AJ225" s="111" t="s">
        <v>5347</v>
      </c>
      <c r="AK225" s="111">
        <v>400000</v>
      </c>
      <c r="AL225" s="97">
        <v>17</v>
      </c>
      <c r="AM225" s="20">
        <f t="shared" si="87"/>
        <v>587</v>
      </c>
      <c r="AN225" s="115">
        <f t="shared" si="88"/>
        <v>234800000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80"/>
        <v>4000235.57626</v>
      </c>
      <c r="Y226" s="97" t="s">
        <v>452</v>
      </c>
      <c r="AI226" s="97">
        <v>206</v>
      </c>
      <c r="AJ226" s="111" t="s">
        <v>5367</v>
      </c>
      <c r="AK226" s="111">
        <v>-20000000</v>
      </c>
      <c r="AL226" s="97">
        <v>18</v>
      </c>
      <c r="AM226" s="20">
        <f t="shared" si="87"/>
        <v>570</v>
      </c>
      <c r="AN226" s="115">
        <f t="shared" si="88"/>
        <v>-11400000000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80"/>
        <v>2249737.4531999999</v>
      </c>
      <c r="Y227" s="97" t="s">
        <v>452</v>
      </c>
      <c r="AI227" s="97">
        <v>207</v>
      </c>
      <c r="AJ227" s="111" t="s">
        <v>5381</v>
      </c>
      <c r="AK227" s="111">
        <v>3006000</v>
      </c>
      <c r="AL227" s="97">
        <v>19</v>
      </c>
      <c r="AM227" s="20">
        <f t="shared" si="87"/>
        <v>552</v>
      </c>
      <c r="AN227" s="115">
        <f t="shared" si="88"/>
        <v>1659312000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80"/>
        <v>-1700002.4685</v>
      </c>
      <c r="Y228" s="89" t="s">
        <v>6623</v>
      </c>
      <c r="AI228" s="97">
        <v>208</v>
      </c>
      <c r="AJ228" s="111" t="s">
        <v>5280</v>
      </c>
      <c r="AK228" s="111">
        <v>-130382924</v>
      </c>
      <c r="AL228" s="97">
        <v>0</v>
      </c>
      <c r="AM228" s="20">
        <f t="shared" si="87"/>
        <v>533</v>
      </c>
      <c r="AN228" s="115">
        <f t="shared" si="88"/>
        <v>-69494098492</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80"/>
        <v>-2194205.1510000001</v>
      </c>
      <c r="Y229" s="97" t="s">
        <v>743</v>
      </c>
      <c r="AI229" s="97">
        <v>209</v>
      </c>
      <c r="AJ229" s="111" t="s">
        <v>5280</v>
      </c>
      <c r="AK229" s="111">
        <v>125000000</v>
      </c>
      <c r="AL229" s="97">
        <v>1</v>
      </c>
      <c r="AM229" s="20">
        <f t="shared" si="87"/>
        <v>533</v>
      </c>
      <c r="AN229" s="115">
        <f t="shared" si="88"/>
        <v>66625000000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80"/>
        <v>-2512356.6839999999</v>
      </c>
      <c r="Y230" s="97" t="s">
        <v>452</v>
      </c>
      <c r="AI230" s="97">
        <v>210</v>
      </c>
      <c r="AJ230" s="111" t="s">
        <v>5403</v>
      </c>
      <c r="AK230" s="111">
        <v>7200000</v>
      </c>
      <c r="AL230" s="97">
        <v>15</v>
      </c>
      <c r="AM230" s="20">
        <f t="shared" si="87"/>
        <v>532</v>
      </c>
      <c r="AN230" s="115">
        <f t="shared" si="88"/>
        <v>3830400000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80"/>
        <v>297616.79550000001</v>
      </c>
      <c r="Y231" s="97" t="s">
        <v>452</v>
      </c>
      <c r="AI231" s="97">
        <v>211</v>
      </c>
      <c r="AJ231" s="111" t="s">
        <v>5422</v>
      </c>
      <c r="AK231" s="111">
        <v>2050000</v>
      </c>
      <c r="AL231" s="97">
        <v>7</v>
      </c>
      <c r="AM231" s="20">
        <f t="shared" si="87"/>
        <v>517</v>
      </c>
      <c r="AN231" s="115">
        <f t="shared" si="88"/>
        <v>1059850000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80"/>
        <v>-1099840.5404999999</v>
      </c>
      <c r="Y232" s="89" t="s">
        <v>4406</v>
      </c>
      <c r="AI232" s="97">
        <v>212</v>
      </c>
      <c r="AJ232" s="111" t="s">
        <v>5439</v>
      </c>
      <c r="AK232" s="111">
        <v>50000000</v>
      </c>
      <c r="AL232" s="97">
        <v>24</v>
      </c>
      <c r="AM232" s="20">
        <f t="shared" si="87"/>
        <v>510</v>
      </c>
      <c r="AN232" s="115">
        <f t="shared" si="88"/>
        <v>25500000000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80"/>
        <v>1099840.5404999999</v>
      </c>
      <c r="Y233" s="97" t="s">
        <v>452</v>
      </c>
      <c r="AI233" s="97">
        <v>213</v>
      </c>
      <c r="AJ233" s="111" t="s">
        <v>5475</v>
      </c>
      <c r="AK233" s="111">
        <v>-58196600</v>
      </c>
      <c r="AL233" s="97">
        <v>22</v>
      </c>
      <c r="AM233" s="20">
        <f t="shared" si="87"/>
        <v>486</v>
      </c>
      <c r="AN233" s="115">
        <f t="shared" si="88"/>
        <v>-28283547600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80"/>
        <v>889938.98070000007</v>
      </c>
      <c r="Y234" s="97" t="s">
        <v>452</v>
      </c>
      <c r="Z234" t="s">
        <v>25</v>
      </c>
      <c r="AI234" s="97">
        <v>214</v>
      </c>
      <c r="AJ234" s="111" t="s">
        <v>5516</v>
      </c>
      <c r="AK234" s="111">
        <v>25000</v>
      </c>
      <c r="AL234" s="97">
        <v>8</v>
      </c>
      <c r="AM234" s="20">
        <f t="shared" si="87"/>
        <v>464</v>
      </c>
      <c r="AN234" s="115">
        <f t="shared" si="88"/>
        <v>11600000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80"/>
        <v>29999874.727419998</v>
      </c>
      <c r="Y235" s="97" t="s">
        <v>1069</v>
      </c>
      <c r="Z235" t="s">
        <v>25</v>
      </c>
      <c r="AI235" s="97">
        <v>215</v>
      </c>
      <c r="AJ235" s="111" t="s">
        <v>5537</v>
      </c>
      <c r="AK235" s="111">
        <v>70000</v>
      </c>
      <c r="AL235" s="97">
        <v>6</v>
      </c>
      <c r="AM235" s="20">
        <f t="shared" si="87"/>
        <v>456</v>
      </c>
      <c r="AN235" s="115">
        <f t="shared" si="88"/>
        <v>31920000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80"/>
        <v>999743.26599999995</v>
      </c>
      <c r="Y236" s="97" t="s">
        <v>452</v>
      </c>
      <c r="AI236" s="97">
        <v>216</v>
      </c>
      <c r="AJ236" s="111" t="s">
        <v>5542</v>
      </c>
      <c r="AK236" s="111">
        <v>70000</v>
      </c>
      <c r="AL236" s="97">
        <v>1</v>
      </c>
      <c r="AM236" s="20">
        <f t="shared" si="87"/>
        <v>450</v>
      </c>
      <c r="AN236" s="115">
        <f t="shared" si="88"/>
        <v>31500000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80"/>
        <v>20193861.870000001</v>
      </c>
      <c r="Y237" s="97" t="s">
        <v>743</v>
      </c>
      <c r="AI237" s="97">
        <v>217</v>
      </c>
      <c r="AJ237" s="111" t="s">
        <v>5531</v>
      </c>
      <c r="AK237" s="111">
        <v>150000</v>
      </c>
      <c r="AL237" s="97">
        <v>0</v>
      </c>
      <c r="AM237" s="20">
        <f t="shared" si="87"/>
        <v>449</v>
      </c>
      <c r="AN237" s="115">
        <f t="shared" si="88"/>
        <v>67350000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80"/>
        <v>45436189.207500003</v>
      </c>
      <c r="Y238" s="97" t="s">
        <v>452</v>
      </c>
      <c r="AI238" s="97">
        <v>218</v>
      </c>
      <c r="AJ238" s="111" t="s">
        <v>5531</v>
      </c>
      <c r="AK238" s="111">
        <v>-95599450</v>
      </c>
      <c r="AL238" s="97">
        <v>7</v>
      </c>
      <c r="AM238" s="20">
        <f t="shared" si="87"/>
        <v>449</v>
      </c>
      <c r="AN238" s="115">
        <f t="shared" si="88"/>
        <v>-42924153050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80"/>
        <v>-3499787.9975000005</v>
      </c>
      <c r="Y239" s="97" t="s">
        <v>452</v>
      </c>
      <c r="AI239" s="97">
        <v>219</v>
      </c>
      <c r="AJ239" s="111" t="s">
        <v>5553</v>
      </c>
      <c r="AK239" s="111">
        <v>200000</v>
      </c>
      <c r="AL239" s="97">
        <v>7</v>
      </c>
      <c r="AM239" s="20">
        <f t="shared" si="87"/>
        <v>442</v>
      </c>
      <c r="AN239" s="115">
        <f t="shared" si="88"/>
        <v>88400000</v>
      </c>
      <c r="AO239" s="20"/>
      <c r="AS239" t="s">
        <v>25</v>
      </c>
    </row>
    <row r="240" spans="4:46">
      <c r="G240" s="205" t="s">
        <v>5725</v>
      </c>
      <c r="H240" s="111">
        <v>275021.925965</v>
      </c>
      <c r="K240" t="s">
        <v>25</v>
      </c>
      <c r="R240" s="187" t="s">
        <v>5365</v>
      </c>
      <c r="S240" s="187" t="s">
        <v>6477</v>
      </c>
      <c r="T240" s="186">
        <v>130888.351165</v>
      </c>
      <c r="U240" s="205" t="s">
        <v>4786</v>
      </c>
      <c r="V240" s="205">
        <v>8424</v>
      </c>
      <c r="W240" s="111">
        <v>299.15170000000001</v>
      </c>
      <c r="X240" s="111">
        <f t="shared" si="80"/>
        <v>2520053.9208</v>
      </c>
      <c r="Y240" s="97" t="s">
        <v>452</v>
      </c>
      <c r="AI240" s="97">
        <v>220</v>
      </c>
      <c r="AJ240" s="111" t="s">
        <v>5558</v>
      </c>
      <c r="AK240" s="111">
        <v>150000</v>
      </c>
      <c r="AL240" s="97">
        <v>5</v>
      </c>
      <c r="AM240" s="20">
        <f t="shared" si="87"/>
        <v>435</v>
      </c>
      <c r="AN240" s="115">
        <f t="shared" si="88"/>
        <v>65250000</v>
      </c>
      <c r="AO240" s="20"/>
    </row>
    <row r="241" spans="7:47">
      <c r="G241" s="205" t="s">
        <v>5730</v>
      </c>
      <c r="H241" s="111">
        <v>327451.9203</v>
      </c>
      <c r="R241" s="187" t="s">
        <v>6585</v>
      </c>
      <c r="S241" s="187" t="s">
        <v>6581</v>
      </c>
      <c r="T241" s="186">
        <v>50000000</v>
      </c>
      <c r="U241" s="205" t="s">
        <v>4821</v>
      </c>
      <c r="V241" s="205">
        <v>15943</v>
      </c>
      <c r="W241" s="111">
        <v>307.34415000000001</v>
      </c>
      <c r="X241" s="111">
        <f t="shared" si="80"/>
        <v>4899987.78345</v>
      </c>
      <c r="Y241" s="97" t="s">
        <v>452</v>
      </c>
      <c r="AI241" s="97">
        <v>221</v>
      </c>
      <c r="AJ241" s="111" t="s">
        <v>5561</v>
      </c>
      <c r="AK241" s="111">
        <v>310000</v>
      </c>
      <c r="AL241" s="97">
        <v>31</v>
      </c>
      <c r="AM241" s="20">
        <f t="shared" si="87"/>
        <v>430</v>
      </c>
      <c r="AN241" s="115">
        <f t="shared" si="88"/>
        <v>133300000</v>
      </c>
      <c r="AO241" s="20"/>
      <c r="AS241" t="s">
        <v>25</v>
      </c>
    </row>
    <row r="242" spans="7:47">
      <c r="G242" s="205" t="s">
        <v>5740</v>
      </c>
      <c r="H242" s="111">
        <v>260081.94096800001</v>
      </c>
      <c r="R242" s="19" t="s">
        <v>6611</v>
      </c>
      <c r="S242" s="19" t="s">
        <v>6610</v>
      </c>
      <c r="T242" s="115">
        <v>96000</v>
      </c>
      <c r="U242" s="205" t="s">
        <v>4834</v>
      </c>
      <c r="V242" s="205">
        <v>3741</v>
      </c>
      <c r="W242" s="111">
        <v>307.34415000000001</v>
      </c>
      <c r="X242" s="111">
        <f t="shared" si="80"/>
        <v>1149774.4651500001</v>
      </c>
      <c r="Y242" s="97" t="s">
        <v>452</v>
      </c>
      <c r="AA242" t="s">
        <v>25</v>
      </c>
      <c r="AI242" s="97">
        <v>222</v>
      </c>
      <c r="AJ242" s="111" t="s">
        <v>5597</v>
      </c>
      <c r="AK242" s="111">
        <v>4200000</v>
      </c>
      <c r="AL242" s="97">
        <v>53</v>
      </c>
      <c r="AM242" s="20">
        <f t="shared" si="87"/>
        <v>399</v>
      </c>
      <c r="AN242" s="115">
        <f t="shared" si="88"/>
        <v>1675800000</v>
      </c>
      <c r="AO242" s="20"/>
      <c r="AU242" s="94" t="s">
        <v>25</v>
      </c>
    </row>
    <row r="243" spans="7:47">
      <c r="G243" s="205" t="s">
        <v>5748</v>
      </c>
      <c r="H243" s="111">
        <v>2909284.5308940001</v>
      </c>
      <c r="R243" s="187" t="s">
        <v>7036</v>
      </c>
      <c r="S243" s="187" t="s">
        <v>7033</v>
      </c>
      <c r="T243" s="186">
        <v>-40615000</v>
      </c>
      <c r="U243" s="205" t="s">
        <v>4839</v>
      </c>
      <c r="V243" s="205">
        <v>-6207</v>
      </c>
      <c r="W243" s="111">
        <v>322.214</v>
      </c>
      <c r="X243" s="111">
        <f t="shared" si="80"/>
        <v>-1999982.298</v>
      </c>
      <c r="Y243" s="97" t="s">
        <v>743</v>
      </c>
      <c r="AI243" s="97">
        <v>223</v>
      </c>
      <c r="AJ243" s="111" t="s">
        <v>5667</v>
      </c>
      <c r="AK243" s="111">
        <v>260000000</v>
      </c>
      <c r="AL243" s="97">
        <v>22</v>
      </c>
      <c r="AM243" s="20">
        <f t="shared" si="87"/>
        <v>346</v>
      </c>
      <c r="AN243" s="115">
        <f t="shared" si="88"/>
        <v>89960000000</v>
      </c>
      <c r="AO243" s="20" t="s">
        <v>5668</v>
      </c>
    </row>
    <row r="244" spans="7:47">
      <c r="G244" s="205" t="s">
        <v>5749</v>
      </c>
      <c r="H244" s="111">
        <v>37723205.094084002</v>
      </c>
      <c r="P244" t="s">
        <v>25</v>
      </c>
      <c r="R244" s="187" t="s">
        <v>7062</v>
      </c>
      <c r="S244" s="187" t="s">
        <v>7061</v>
      </c>
      <c r="T244" s="186">
        <v>7300000</v>
      </c>
      <c r="U244" s="205" t="s">
        <v>4839</v>
      </c>
      <c r="V244" s="205">
        <v>6207</v>
      </c>
      <c r="W244" s="111">
        <v>322.214</v>
      </c>
      <c r="X244" s="111">
        <f t="shared" si="80"/>
        <v>1999982.298</v>
      </c>
      <c r="Y244" s="97" t="s">
        <v>4406</v>
      </c>
      <c r="AI244" s="97">
        <v>224</v>
      </c>
      <c r="AJ244" s="111" t="s">
        <v>5695</v>
      </c>
      <c r="AK244" s="111">
        <v>20000</v>
      </c>
      <c r="AL244" s="97">
        <v>7</v>
      </c>
      <c r="AM244" s="20">
        <f t="shared" si="87"/>
        <v>324</v>
      </c>
      <c r="AN244" s="115">
        <f t="shared" si="88"/>
        <v>6480000</v>
      </c>
      <c r="AO244" s="20"/>
      <c r="AQ244" t="s">
        <v>25</v>
      </c>
    </row>
    <row r="245" spans="7:47">
      <c r="G245" s="205" t="s">
        <v>5750</v>
      </c>
      <c r="H245" s="111">
        <v>1500094.75168</v>
      </c>
      <c r="R245" s="19"/>
      <c r="S245" s="19"/>
      <c r="T245" s="115"/>
      <c r="U245" s="205" t="s">
        <v>4793</v>
      </c>
      <c r="V245" s="205">
        <v>776</v>
      </c>
      <c r="W245" s="111">
        <v>322.214</v>
      </c>
      <c r="X245" s="111">
        <f t="shared" si="80"/>
        <v>250038.06400000001</v>
      </c>
      <c r="Y245" s="97" t="s">
        <v>452</v>
      </c>
      <c r="AI245" s="97">
        <v>225</v>
      </c>
      <c r="AJ245" s="111" t="s">
        <v>5703</v>
      </c>
      <c r="AK245" s="111">
        <v>70000</v>
      </c>
      <c r="AL245" s="97">
        <v>1</v>
      </c>
      <c r="AM245" s="20">
        <f t="shared" si="87"/>
        <v>317</v>
      </c>
      <c r="AN245" s="115">
        <f t="shared" si="88"/>
        <v>22190000</v>
      </c>
      <c r="AO245" s="20"/>
    </row>
    <row r="246" spans="7:47">
      <c r="G246" s="205" t="s">
        <v>5751</v>
      </c>
      <c r="H246" s="111">
        <v>7230628.4378079996</v>
      </c>
      <c r="J246" t="s">
        <v>25</v>
      </c>
      <c r="R246" s="19"/>
      <c r="S246" s="19"/>
      <c r="T246" s="115"/>
      <c r="U246" s="205" t="s">
        <v>4861</v>
      </c>
      <c r="V246" s="205">
        <v>1524</v>
      </c>
      <c r="W246" s="111">
        <v>314.95999999999998</v>
      </c>
      <c r="X246" s="111">
        <f t="shared" si="80"/>
        <v>479999.04</v>
      </c>
      <c r="Y246" s="97" t="s">
        <v>1069</v>
      </c>
      <c r="AI246" s="97">
        <v>226</v>
      </c>
      <c r="AJ246" s="111" t="s">
        <v>5709</v>
      </c>
      <c r="AK246" s="111">
        <v>330000</v>
      </c>
      <c r="AL246" s="97">
        <v>1</v>
      </c>
      <c r="AM246" s="20">
        <f t="shared" si="87"/>
        <v>316</v>
      </c>
      <c r="AN246" s="115">
        <f t="shared" si="88"/>
        <v>104280000</v>
      </c>
      <c r="AO246" s="20"/>
    </row>
    <row r="247" spans="7:47">
      <c r="G247" s="205" t="s">
        <v>5753</v>
      </c>
      <c r="H247" s="111">
        <v>29767389.390390001</v>
      </c>
      <c r="R247" s="205" t="s">
        <v>25</v>
      </c>
      <c r="S247" s="205"/>
      <c r="T247" s="111"/>
      <c r="U247" s="205" t="s">
        <v>4868</v>
      </c>
      <c r="V247" s="205">
        <v>4435</v>
      </c>
      <c r="W247" s="111">
        <v>316.4375</v>
      </c>
      <c r="X247" s="111">
        <f t="shared" si="80"/>
        <v>1403400.3125</v>
      </c>
      <c r="Y247" s="97" t="s">
        <v>452</v>
      </c>
      <c r="AI247" s="97">
        <v>227</v>
      </c>
      <c r="AJ247" s="111" t="s">
        <v>5798</v>
      </c>
      <c r="AK247" s="111">
        <v>33833075</v>
      </c>
      <c r="AL247" s="97">
        <v>18</v>
      </c>
      <c r="AM247" s="20">
        <f t="shared" si="87"/>
        <v>315</v>
      </c>
      <c r="AN247" s="115">
        <f t="shared" si="88"/>
        <v>10657418625</v>
      </c>
      <c r="AO247" s="20" t="s">
        <v>5802</v>
      </c>
    </row>
    <row r="248" spans="7:47">
      <c r="G248" s="205" t="s">
        <v>5755</v>
      </c>
      <c r="H248" s="111">
        <v>151560.25597</v>
      </c>
      <c r="R248" s="205"/>
      <c r="S248" s="205"/>
      <c r="T248" s="111">
        <f>SUM(T200:T247)</f>
        <v>127637957.13209102</v>
      </c>
      <c r="U248" s="205" t="s">
        <v>4871</v>
      </c>
      <c r="V248" s="205">
        <v>624</v>
      </c>
      <c r="W248" s="111">
        <v>320.5</v>
      </c>
      <c r="X248" s="111">
        <f t="shared" si="80"/>
        <v>199992</v>
      </c>
      <c r="Y248" s="97" t="s">
        <v>452</v>
      </c>
      <c r="AI248" s="97">
        <v>228</v>
      </c>
      <c r="AJ248" s="111" t="s">
        <v>5809</v>
      </c>
      <c r="AK248" s="111">
        <v>150000</v>
      </c>
      <c r="AL248" s="97">
        <v>10</v>
      </c>
      <c r="AM248" s="20">
        <f t="shared" si="87"/>
        <v>297</v>
      </c>
      <c r="AN248" s="115"/>
      <c r="AO248" s="20"/>
    </row>
    <row r="249" spans="7:47">
      <c r="G249" s="205" t="s">
        <v>5756</v>
      </c>
      <c r="H249" s="111">
        <v>481318.88078800001</v>
      </c>
      <c r="J249" t="s">
        <v>25</v>
      </c>
      <c r="R249" s="41"/>
      <c r="S249" s="205"/>
      <c r="T249" s="205" t="s">
        <v>6</v>
      </c>
      <c r="U249" s="205" t="s">
        <v>4876</v>
      </c>
      <c r="V249" s="205">
        <v>1086</v>
      </c>
      <c r="W249" s="111">
        <v>317.55</v>
      </c>
      <c r="X249" s="111">
        <f t="shared" si="80"/>
        <v>344859.3</v>
      </c>
      <c r="Y249" s="97" t="s">
        <v>452</v>
      </c>
      <c r="AI249" s="97">
        <v>229</v>
      </c>
      <c r="AJ249" s="111" t="s">
        <v>5814</v>
      </c>
      <c r="AK249" s="111">
        <v>-341847876.93843603</v>
      </c>
      <c r="AL249" s="97">
        <v>1</v>
      </c>
      <c r="AM249" s="20">
        <f t="shared" si="87"/>
        <v>287</v>
      </c>
      <c r="AN249" s="115"/>
      <c r="AO249" s="20" t="s">
        <v>4726</v>
      </c>
      <c r="AQ249" t="s">
        <v>25</v>
      </c>
    </row>
    <row r="250" spans="7:47" ht="20.25" customHeight="1">
      <c r="G250" s="205" t="s">
        <v>5759</v>
      </c>
      <c r="H250" s="111">
        <v>146277.56820000001</v>
      </c>
      <c r="O250" t="s">
        <v>25</v>
      </c>
      <c r="P250" t="s">
        <v>25</v>
      </c>
      <c r="R250" s="94"/>
      <c r="U250" s="205" t="s">
        <v>4881</v>
      </c>
      <c r="V250" s="205">
        <v>2820</v>
      </c>
      <c r="W250" s="111">
        <v>319.1096</v>
      </c>
      <c r="X250" s="111">
        <f t="shared" si="80"/>
        <v>899889.07200000004</v>
      </c>
      <c r="Y250" s="97" t="s">
        <v>452</v>
      </c>
      <c r="AI250" s="97">
        <v>230</v>
      </c>
      <c r="AJ250" s="111" t="s">
        <v>5825</v>
      </c>
      <c r="AK250" s="111">
        <v>100000000</v>
      </c>
      <c r="AL250" s="97">
        <v>0</v>
      </c>
      <c r="AM250" s="20">
        <f t="shared" si="87"/>
        <v>286</v>
      </c>
      <c r="AN250" s="115"/>
      <c r="AO250" s="20" t="s">
        <v>5826</v>
      </c>
    </row>
    <row r="251" spans="7:47" ht="30">
      <c r="G251" s="205" t="s">
        <v>5771</v>
      </c>
      <c r="H251" s="111">
        <v>424693.40162399999</v>
      </c>
      <c r="J251" t="s">
        <v>25</v>
      </c>
      <c r="R251" s="94" t="s">
        <v>25</v>
      </c>
      <c r="S251" s="94" t="s">
        <v>25</v>
      </c>
      <c r="U251" s="205" t="s">
        <v>4884</v>
      </c>
      <c r="V251" s="205">
        <v>1145</v>
      </c>
      <c r="W251" s="111">
        <v>325.44</v>
      </c>
      <c r="X251" s="111">
        <f t="shared" si="80"/>
        <v>372628.8</v>
      </c>
      <c r="Y251" s="97" t="s">
        <v>452</v>
      </c>
      <c r="Z251" t="s">
        <v>25</v>
      </c>
      <c r="AI251" s="97">
        <v>231</v>
      </c>
      <c r="AJ251" s="111" t="s">
        <v>5825</v>
      </c>
      <c r="AK251" s="111">
        <v>-100000000</v>
      </c>
      <c r="AL251" s="97">
        <v>1</v>
      </c>
      <c r="AM251" s="20">
        <f t="shared" si="87"/>
        <v>286</v>
      </c>
      <c r="AN251" s="115"/>
      <c r="AO251" s="259" t="s">
        <v>5827</v>
      </c>
    </row>
    <row r="252" spans="7:47">
      <c r="G252" s="205" t="s">
        <v>5774</v>
      </c>
      <c r="H252" s="111">
        <v>558320.40202399995</v>
      </c>
      <c r="J252" t="s">
        <v>25</v>
      </c>
      <c r="R252" s="94" t="s">
        <v>25</v>
      </c>
      <c r="S252" s="94" t="s">
        <v>25</v>
      </c>
      <c r="T252" t="s">
        <v>25</v>
      </c>
      <c r="U252" s="205" t="s">
        <v>4892</v>
      </c>
      <c r="V252" s="205">
        <v>20153</v>
      </c>
      <c r="W252" s="111">
        <v>322</v>
      </c>
      <c r="X252" s="111">
        <f t="shared" si="80"/>
        <v>6489266</v>
      </c>
      <c r="Y252" s="97" t="s">
        <v>452</v>
      </c>
      <c r="AI252" s="97">
        <v>232</v>
      </c>
      <c r="AJ252" s="111" t="s">
        <v>5828</v>
      </c>
      <c r="AK252" s="111">
        <v>90000000</v>
      </c>
      <c r="AL252" s="97">
        <v>0</v>
      </c>
      <c r="AM252" s="20">
        <f t="shared" si="87"/>
        <v>285</v>
      </c>
      <c r="AN252" s="115"/>
      <c r="AO252" s="20"/>
    </row>
    <row r="253" spans="7:47" ht="30">
      <c r="G253" s="205" t="s">
        <v>5776</v>
      </c>
      <c r="H253" s="111">
        <v>207642.22201140001</v>
      </c>
      <c r="J253" t="s">
        <v>25</v>
      </c>
      <c r="O253" t="s">
        <v>25</v>
      </c>
      <c r="T253" t="s">
        <v>25</v>
      </c>
      <c r="U253" s="205" t="s">
        <v>4902</v>
      </c>
      <c r="V253" s="205">
        <v>93720</v>
      </c>
      <c r="W253" s="111">
        <v>325.435</v>
      </c>
      <c r="X253" s="111">
        <f t="shared" si="80"/>
        <v>30499768.199999999</v>
      </c>
      <c r="Y253" s="97" t="s">
        <v>1069</v>
      </c>
      <c r="AI253" s="97">
        <v>233</v>
      </c>
      <c r="AJ253" s="111" t="s">
        <v>5828</v>
      </c>
      <c r="AK253" s="111">
        <v>-90000000</v>
      </c>
      <c r="AL253" s="97">
        <v>1</v>
      </c>
      <c r="AM253" s="20">
        <f t="shared" si="87"/>
        <v>285</v>
      </c>
      <c r="AN253" s="115"/>
      <c r="AO253" s="259" t="s">
        <v>5829</v>
      </c>
      <c r="AR253" t="s">
        <v>25</v>
      </c>
      <c r="AT253" t="s">
        <v>25</v>
      </c>
    </row>
    <row r="254" spans="7:47">
      <c r="G254" s="277" t="s">
        <v>5807</v>
      </c>
      <c r="H254" s="88">
        <v>637977.33504399995</v>
      </c>
      <c r="R254" s="97" t="s">
        <v>743</v>
      </c>
      <c r="S254" s="97"/>
      <c r="T254" t="s">
        <v>25</v>
      </c>
      <c r="U254" s="205" t="s">
        <v>4902</v>
      </c>
      <c r="V254" s="205">
        <v>20895</v>
      </c>
      <c r="W254" s="111">
        <v>325.435</v>
      </c>
      <c r="X254" s="111">
        <f t="shared" si="80"/>
        <v>6799964.3250000002</v>
      </c>
      <c r="Y254" s="97" t="s">
        <v>743</v>
      </c>
      <c r="AI254" s="97">
        <v>234</v>
      </c>
      <c r="AJ254" s="111" t="s">
        <v>5830</v>
      </c>
      <c r="AK254" s="111">
        <v>30000000</v>
      </c>
      <c r="AL254" s="97">
        <v>0</v>
      </c>
      <c r="AM254" s="20">
        <f t="shared" si="87"/>
        <v>284</v>
      </c>
      <c r="AN254" s="115"/>
      <c r="AO254" s="259"/>
    </row>
    <row r="255" spans="7:47" ht="30">
      <c r="G255" s="205" t="s">
        <v>5808</v>
      </c>
      <c r="H255" s="111">
        <v>466552.25632400002</v>
      </c>
      <c r="R255" s="97" t="s">
        <v>4399</v>
      </c>
      <c r="S255" s="93">
        <v>172908000</v>
      </c>
      <c r="T255" t="s">
        <v>25</v>
      </c>
      <c r="U255" s="205" t="s">
        <v>4909</v>
      </c>
      <c r="V255" s="205">
        <v>2611</v>
      </c>
      <c r="W255" s="111">
        <v>325.435</v>
      </c>
      <c r="X255" s="111">
        <f t="shared" si="80"/>
        <v>849710.78500000003</v>
      </c>
      <c r="Y255" s="97" t="s">
        <v>743</v>
      </c>
      <c r="AI255" s="97">
        <v>235</v>
      </c>
      <c r="AJ255" s="111" t="s">
        <v>5830</v>
      </c>
      <c r="AK255" s="111">
        <v>-30000000</v>
      </c>
      <c r="AL255" s="97">
        <v>3</v>
      </c>
      <c r="AM255" s="20">
        <f t="shared" si="87"/>
        <v>284</v>
      </c>
      <c r="AN255" s="115"/>
      <c r="AO255" s="259" t="s">
        <v>5831</v>
      </c>
    </row>
    <row r="256" spans="7:47">
      <c r="G256" s="205" t="s">
        <v>5809</v>
      </c>
      <c r="H256" s="111">
        <v>189134.85153000001</v>
      </c>
      <c r="J256" t="s">
        <v>25</v>
      </c>
      <c r="O256" t="s">
        <v>25</v>
      </c>
      <c r="R256" s="97" t="s">
        <v>4430</v>
      </c>
      <c r="S256" s="93">
        <v>1400000</v>
      </c>
      <c r="U256" s="205" t="s">
        <v>4917</v>
      </c>
      <c r="V256" s="205">
        <v>6750</v>
      </c>
      <c r="W256" s="111">
        <v>339.3</v>
      </c>
      <c r="X256" s="111">
        <f t="shared" si="80"/>
        <v>2290275</v>
      </c>
      <c r="Y256" s="97" t="s">
        <v>743</v>
      </c>
      <c r="AB256" t="s">
        <v>25</v>
      </c>
      <c r="AI256" s="97">
        <v>236</v>
      </c>
      <c r="AJ256" s="111" t="s">
        <v>5846</v>
      </c>
      <c r="AK256" s="111">
        <v>50000000</v>
      </c>
      <c r="AL256" s="97">
        <v>1</v>
      </c>
      <c r="AM256" s="20">
        <f t="shared" si="87"/>
        <v>281</v>
      </c>
      <c r="AN256" s="115"/>
      <c r="AO256" s="259"/>
    </row>
    <row r="257" spans="7:46" ht="30">
      <c r="G257" s="205" t="s">
        <v>5811</v>
      </c>
      <c r="H257" s="111">
        <v>564888.82799599995</v>
      </c>
      <c r="P257" t="s">
        <v>25</v>
      </c>
      <c r="R257" s="97" t="s">
        <v>4205</v>
      </c>
      <c r="S257" s="93">
        <v>247393</v>
      </c>
      <c r="T257" t="s">
        <v>25</v>
      </c>
      <c r="U257" s="205" t="s">
        <v>4925</v>
      </c>
      <c r="V257" s="205">
        <v>1850</v>
      </c>
      <c r="W257" s="111">
        <v>334.10050000000001</v>
      </c>
      <c r="X257" s="111">
        <f t="shared" si="80"/>
        <v>618085.92500000005</v>
      </c>
      <c r="Y257" s="97" t="s">
        <v>452</v>
      </c>
      <c r="Z257" t="s">
        <v>25</v>
      </c>
      <c r="AI257" s="97">
        <v>237</v>
      </c>
      <c r="AJ257" s="111" t="s">
        <v>5847</v>
      </c>
      <c r="AK257" s="111">
        <v>-50000000</v>
      </c>
      <c r="AL257" s="97">
        <v>5</v>
      </c>
      <c r="AM257" s="20">
        <f t="shared" si="87"/>
        <v>280</v>
      </c>
      <c r="AN257" s="115"/>
      <c r="AO257" s="259" t="s">
        <v>5848</v>
      </c>
      <c r="AQ257" t="s">
        <v>25</v>
      </c>
    </row>
    <row r="258" spans="7:46">
      <c r="G258" s="205" t="s">
        <v>5846</v>
      </c>
      <c r="H258" s="111">
        <v>259993.58394100002</v>
      </c>
      <c r="J258" t="s">
        <v>25</v>
      </c>
      <c r="R258" s="97" t="s">
        <v>4204</v>
      </c>
      <c r="S258" s="93">
        <v>6780000</v>
      </c>
      <c r="U258" s="205" t="s">
        <v>4925</v>
      </c>
      <c r="V258" s="205">
        <v>-1194</v>
      </c>
      <c r="W258" s="111">
        <v>335</v>
      </c>
      <c r="X258" s="111">
        <f t="shared" si="80"/>
        <v>-399990</v>
      </c>
      <c r="Y258" s="97" t="s">
        <v>4406</v>
      </c>
      <c r="Z258" t="s">
        <v>25</v>
      </c>
      <c r="AI258" s="97">
        <v>238</v>
      </c>
      <c r="AJ258" s="111" t="s">
        <v>6379</v>
      </c>
      <c r="AK258" s="111">
        <v>10000</v>
      </c>
      <c r="AL258" s="97">
        <v>1</v>
      </c>
      <c r="AM258" s="20">
        <f t="shared" si="87"/>
        <v>275</v>
      </c>
      <c r="AN258" s="115"/>
      <c r="AO258" s="259"/>
    </row>
    <row r="259" spans="7:46" ht="15" customHeight="1">
      <c r="G259" s="205" t="s">
        <v>5847</v>
      </c>
      <c r="H259" s="111">
        <v>269955.31205999997</v>
      </c>
      <c r="R259" s="97" t="s">
        <v>4528</v>
      </c>
      <c r="S259" s="93">
        <v>-4000000</v>
      </c>
      <c r="U259" s="205" t="s">
        <v>4925</v>
      </c>
      <c r="V259" s="205">
        <v>1194</v>
      </c>
      <c r="W259" s="111">
        <v>335</v>
      </c>
      <c r="X259" s="111">
        <f t="shared" si="80"/>
        <v>399990</v>
      </c>
      <c r="Y259" s="97" t="s">
        <v>743</v>
      </c>
      <c r="AI259" s="97">
        <v>239</v>
      </c>
      <c r="AJ259" s="111" t="s">
        <v>6382</v>
      </c>
      <c r="AK259" s="111">
        <v>50000000</v>
      </c>
      <c r="AL259" s="97">
        <v>43</v>
      </c>
      <c r="AM259" s="20">
        <f t="shared" si="87"/>
        <v>274</v>
      </c>
      <c r="AN259" s="115"/>
      <c r="AO259" s="259" t="s">
        <v>5335</v>
      </c>
    </row>
    <row r="260" spans="7:46">
      <c r="G260" s="205" t="s">
        <v>6388</v>
      </c>
      <c r="H260" s="111">
        <v>560534.38387200003</v>
      </c>
      <c r="P260" t="s">
        <v>25</v>
      </c>
      <c r="R260" s="97" t="s">
        <v>4553</v>
      </c>
      <c r="S260" s="93">
        <v>16727037</v>
      </c>
      <c r="U260" s="205" t="s">
        <v>4932</v>
      </c>
      <c r="V260" s="205">
        <v>433</v>
      </c>
      <c r="W260" s="111">
        <v>345.68</v>
      </c>
      <c r="X260" s="111">
        <f t="shared" si="80"/>
        <v>149679.44</v>
      </c>
      <c r="Y260" s="97" t="s">
        <v>743</v>
      </c>
      <c r="AI260" s="97">
        <v>240</v>
      </c>
      <c r="AJ260" s="111" t="s">
        <v>6434</v>
      </c>
      <c r="AK260" s="111">
        <v>50000000</v>
      </c>
      <c r="AL260" s="97">
        <v>10</v>
      </c>
      <c r="AM260" s="20">
        <f t="shared" si="87"/>
        <v>231</v>
      </c>
      <c r="AN260" s="115"/>
      <c r="AO260" s="259" t="s">
        <v>6435</v>
      </c>
    </row>
    <row r="261" spans="7:46">
      <c r="G261" s="205" t="s">
        <v>6390</v>
      </c>
      <c r="H261" s="111">
        <v>581484.96802499995</v>
      </c>
      <c r="R261" s="97" t="s">
        <v>4558</v>
      </c>
      <c r="S261" s="93">
        <v>46460683</v>
      </c>
      <c r="T261" t="s">
        <v>25</v>
      </c>
      <c r="U261" s="205" t="s">
        <v>4936</v>
      </c>
      <c r="V261" s="205">
        <v>55459</v>
      </c>
      <c r="W261" s="111">
        <v>362.51978000000003</v>
      </c>
      <c r="X261" s="111">
        <f t="shared" si="80"/>
        <v>20104984.479020003</v>
      </c>
      <c r="Y261" s="97" t="s">
        <v>452</v>
      </c>
      <c r="AI261" s="97">
        <v>241</v>
      </c>
      <c r="AJ261" s="111" t="s">
        <v>6436</v>
      </c>
      <c r="AK261" s="111">
        <v>8200000</v>
      </c>
      <c r="AL261" s="97">
        <v>29</v>
      </c>
      <c r="AM261" s="20">
        <f t="shared" si="87"/>
        <v>221</v>
      </c>
      <c r="AN261" s="115"/>
      <c r="AO261" s="259" t="s">
        <v>6435</v>
      </c>
      <c r="AS261" t="s">
        <v>25</v>
      </c>
      <c r="AT261" t="s">
        <v>25</v>
      </c>
    </row>
    <row r="262" spans="7:46">
      <c r="G262" s="205" t="s">
        <v>6392</v>
      </c>
      <c r="H262" s="111">
        <v>2136964.3409779998</v>
      </c>
      <c r="J262" t="s">
        <v>25</v>
      </c>
      <c r="R262" s="97" t="s">
        <v>4559</v>
      </c>
      <c r="S262" s="93">
        <v>19663646</v>
      </c>
      <c r="U262" s="205" t="s">
        <v>4940</v>
      </c>
      <c r="V262" s="205">
        <v>-57212</v>
      </c>
      <c r="W262" s="111">
        <v>368.45400000000001</v>
      </c>
      <c r="X262" s="111">
        <f t="shared" si="80"/>
        <v>-21079990.248</v>
      </c>
      <c r="Y262" s="97" t="s">
        <v>452</v>
      </c>
      <c r="AI262" s="97">
        <v>242</v>
      </c>
      <c r="AJ262" s="111" t="s">
        <v>6472</v>
      </c>
      <c r="AK262" s="111">
        <v>-180000000</v>
      </c>
      <c r="AL262" s="97">
        <v>16</v>
      </c>
      <c r="AM262" s="20">
        <f t="shared" si="87"/>
        <v>192</v>
      </c>
      <c r="AN262" s="115"/>
      <c r="AO262" s="259" t="s">
        <v>6476</v>
      </c>
    </row>
    <row r="263" spans="7:46" ht="17.25" customHeight="1">
      <c r="G263" s="205" t="s">
        <v>6395</v>
      </c>
      <c r="H263" s="111">
        <v>593783.22629999998</v>
      </c>
      <c r="J263" t="s">
        <v>25</v>
      </c>
      <c r="R263" s="97" t="s">
        <v>4580</v>
      </c>
      <c r="S263" s="93">
        <v>4374525</v>
      </c>
      <c r="U263" s="205" t="s">
        <v>4941</v>
      </c>
      <c r="V263" s="205">
        <v>-15881</v>
      </c>
      <c r="W263" s="111">
        <v>374.61599999999999</v>
      </c>
      <c r="X263" s="111">
        <f t="shared" si="80"/>
        <v>-5949276.6959999995</v>
      </c>
      <c r="Y263" s="97" t="s">
        <v>452</v>
      </c>
      <c r="AI263" s="97">
        <v>243</v>
      </c>
      <c r="AJ263" s="111" t="s">
        <v>6581</v>
      </c>
      <c r="AK263" s="111">
        <v>60000000</v>
      </c>
      <c r="AL263" s="97">
        <v>6</v>
      </c>
      <c r="AM263" s="20">
        <f t="shared" si="87"/>
        <v>176</v>
      </c>
      <c r="AN263" s="115"/>
      <c r="AO263" s="259" t="s">
        <v>6582</v>
      </c>
      <c r="AT263" t="s">
        <v>25</v>
      </c>
    </row>
    <row r="264" spans="7:46">
      <c r="G264" s="205" t="s">
        <v>6399</v>
      </c>
      <c r="H264" s="111">
        <v>469469.96222000004</v>
      </c>
      <c r="J264" t="s">
        <v>25</v>
      </c>
      <c r="K264" t="s">
        <v>25</v>
      </c>
      <c r="P264" t="s">
        <v>25</v>
      </c>
      <c r="R264" s="97" t="s">
        <v>4591</v>
      </c>
      <c r="S264" s="93">
        <v>6550580</v>
      </c>
      <c r="U264" s="205" t="s">
        <v>4947</v>
      </c>
      <c r="V264" s="205">
        <v>-41289</v>
      </c>
      <c r="W264" s="111">
        <v>372.27</v>
      </c>
      <c r="X264" s="111">
        <f t="shared" si="80"/>
        <v>-15370656.029999999</v>
      </c>
      <c r="Y264" s="97" t="s">
        <v>452</v>
      </c>
      <c r="AI264" s="97">
        <v>244</v>
      </c>
      <c r="AJ264" s="111" t="s">
        <v>6590</v>
      </c>
      <c r="AK264" s="111">
        <v>5000</v>
      </c>
      <c r="AL264" s="97">
        <v>8</v>
      </c>
      <c r="AM264" s="20">
        <f t="shared" si="87"/>
        <v>170</v>
      </c>
      <c r="AN264" s="115"/>
      <c r="AO264" s="259" t="s">
        <v>6435</v>
      </c>
    </row>
    <row r="265" spans="7:46">
      <c r="G265" s="205" t="s">
        <v>6437</v>
      </c>
      <c r="H265" s="111">
        <v>15777944</v>
      </c>
      <c r="R265" s="97" t="s">
        <v>4593</v>
      </c>
      <c r="S265" s="93">
        <v>6650895</v>
      </c>
      <c r="U265" s="205" t="s">
        <v>4953</v>
      </c>
      <c r="V265" s="205">
        <v>13563</v>
      </c>
      <c r="W265" s="111">
        <v>365.69799999999998</v>
      </c>
      <c r="X265" s="111">
        <f t="shared" si="80"/>
        <v>4959961.9739999995</v>
      </c>
      <c r="Y265" s="97" t="s">
        <v>452</v>
      </c>
      <c r="AI265" s="97">
        <v>245</v>
      </c>
      <c r="AJ265" s="111" t="s">
        <v>6595</v>
      </c>
      <c r="AK265" s="111">
        <v>102750000</v>
      </c>
      <c r="AL265" s="97">
        <v>5</v>
      </c>
      <c r="AM265" s="20">
        <f t="shared" si="87"/>
        <v>162</v>
      </c>
      <c r="AN265" s="115"/>
      <c r="AO265" s="259"/>
    </row>
    <row r="266" spans="7:46" ht="30">
      <c r="G266" s="205" t="s">
        <v>6445</v>
      </c>
      <c r="H266" s="111">
        <v>3585319.2317280001</v>
      </c>
      <c r="J266" t="s">
        <v>25</v>
      </c>
      <c r="K266" t="s">
        <v>25</v>
      </c>
      <c r="R266" s="97" t="s">
        <v>4606</v>
      </c>
      <c r="S266" s="93">
        <v>2145814</v>
      </c>
      <c r="U266" s="205" t="s">
        <v>4953</v>
      </c>
      <c r="V266" s="205">
        <v>27344</v>
      </c>
      <c r="W266" s="111">
        <v>365.69799999999998</v>
      </c>
      <c r="X266" s="111">
        <f t="shared" si="80"/>
        <v>9999646.1119999997</v>
      </c>
      <c r="Y266" s="97" t="s">
        <v>452</v>
      </c>
      <c r="AI266" s="97">
        <v>246</v>
      </c>
      <c r="AJ266" s="111" t="s">
        <v>6602</v>
      </c>
      <c r="AK266" s="111">
        <v>-60000000</v>
      </c>
      <c r="AL266" s="97">
        <v>42</v>
      </c>
      <c r="AM266" s="20">
        <f t="shared" si="87"/>
        <v>157</v>
      </c>
      <c r="AN266" s="115"/>
      <c r="AO266" s="259" t="s">
        <v>6608</v>
      </c>
    </row>
    <row r="267" spans="7:46" ht="20.25" customHeight="1">
      <c r="G267" s="205" t="s">
        <v>6448</v>
      </c>
      <c r="H267" s="111">
        <v>676700.69889600005</v>
      </c>
      <c r="J267" t="s">
        <v>25</v>
      </c>
      <c r="R267" s="97" t="s">
        <v>4617</v>
      </c>
      <c r="S267" s="93">
        <v>4369730</v>
      </c>
      <c r="U267" s="205" t="s">
        <v>4960</v>
      </c>
      <c r="V267" s="205">
        <v>-103145</v>
      </c>
      <c r="W267" s="111">
        <v>393.334</v>
      </c>
      <c r="X267" s="111">
        <f t="shared" si="80"/>
        <v>-40570435.43</v>
      </c>
      <c r="Y267" s="36" t="s">
        <v>4965</v>
      </c>
      <c r="AI267" s="97">
        <v>247</v>
      </c>
      <c r="AJ267" s="111" t="s">
        <v>6919</v>
      </c>
      <c r="AK267" s="111">
        <v>50000</v>
      </c>
      <c r="AL267" s="97">
        <v>59</v>
      </c>
      <c r="AM267" s="20">
        <f t="shared" si="87"/>
        <v>115</v>
      </c>
      <c r="AN267" s="115"/>
      <c r="AO267" s="259" t="s">
        <v>6435</v>
      </c>
      <c r="AT267" t="s">
        <v>25</v>
      </c>
    </row>
    <row r="268" spans="7:46">
      <c r="G268" s="205" t="s">
        <v>6456</v>
      </c>
      <c r="H268" s="111">
        <v>1105777.5430340001</v>
      </c>
      <c r="J268" t="s">
        <v>25</v>
      </c>
      <c r="R268" s="97" t="s">
        <v>4619</v>
      </c>
      <c r="S268" s="93">
        <v>8739459</v>
      </c>
      <c r="T268" t="s">
        <v>25</v>
      </c>
      <c r="U268" s="205" t="s">
        <v>4960</v>
      </c>
      <c r="V268" s="205">
        <v>-369</v>
      </c>
      <c r="W268" s="111">
        <v>393.334</v>
      </c>
      <c r="X268" s="111">
        <f t="shared" si="80"/>
        <v>-145140.24600000001</v>
      </c>
      <c r="Y268" s="36" t="s">
        <v>5037</v>
      </c>
      <c r="AI268" s="97">
        <v>248</v>
      </c>
      <c r="AJ268" s="111" t="s">
        <v>7055</v>
      </c>
      <c r="AK268" s="111">
        <v>300000</v>
      </c>
      <c r="AL268" s="97">
        <v>55</v>
      </c>
      <c r="AM268" s="20">
        <f t="shared" si="87"/>
        <v>56</v>
      </c>
      <c r="AN268" s="115"/>
      <c r="AO268" s="259"/>
    </row>
    <row r="269" spans="7:46" ht="21.75" customHeight="1">
      <c r="G269" s="205" t="s">
        <v>6460</v>
      </c>
      <c r="H269" s="111">
        <v>2315234.8602510002</v>
      </c>
      <c r="R269" s="97" t="s">
        <v>4628</v>
      </c>
      <c r="S269" s="93">
        <v>6667654</v>
      </c>
      <c r="U269" s="205" t="s">
        <v>4960</v>
      </c>
      <c r="V269" s="205">
        <v>-889</v>
      </c>
      <c r="W269" s="111">
        <v>393.334</v>
      </c>
      <c r="X269" s="111">
        <f t="shared" si="80"/>
        <v>-349673.92599999998</v>
      </c>
      <c r="Y269" s="36" t="s">
        <v>5038</v>
      </c>
      <c r="AI269" s="97">
        <v>249</v>
      </c>
      <c r="AJ269" s="111" t="s">
        <v>7127</v>
      </c>
      <c r="AK269" s="111">
        <v>200000000</v>
      </c>
      <c r="AL269" s="97">
        <v>1</v>
      </c>
      <c r="AM269" s="20">
        <f t="shared" si="87"/>
        <v>1</v>
      </c>
      <c r="AN269" s="115"/>
      <c r="AO269" s="259" t="s">
        <v>7128</v>
      </c>
    </row>
    <row r="270" spans="7:46">
      <c r="G270" s="205" t="s">
        <v>6462</v>
      </c>
      <c r="H270" s="111">
        <v>4136360.6541840001</v>
      </c>
      <c r="J270" t="s">
        <v>25</v>
      </c>
      <c r="R270" s="97" t="s">
        <v>4636</v>
      </c>
      <c r="S270" s="93">
        <v>8981245</v>
      </c>
      <c r="U270" s="205" t="s">
        <v>4969</v>
      </c>
      <c r="V270" s="205">
        <v>2546</v>
      </c>
      <c r="W270" s="111">
        <v>393</v>
      </c>
      <c r="X270" s="111">
        <f t="shared" si="80"/>
        <v>1000578</v>
      </c>
      <c r="Y270" s="36" t="s">
        <v>452</v>
      </c>
      <c r="AI270" s="97"/>
      <c r="AJ270" s="111"/>
      <c r="AK270" s="111"/>
      <c r="AL270" s="97"/>
      <c r="AM270" s="20">
        <f t="shared" si="87"/>
        <v>0</v>
      </c>
      <c r="AN270" s="115"/>
      <c r="AO270" s="20"/>
    </row>
    <row r="271" spans="7:46">
      <c r="G271" s="205" t="s">
        <v>6464</v>
      </c>
      <c r="H271" s="111">
        <v>3035714.4702960001</v>
      </c>
      <c r="R271" s="97" t="s">
        <v>4640</v>
      </c>
      <c r="S271" s="93">
        <v>9181756</v>
      </c>
      <c r="U271" s="205" t="s">
        <v>4970</v>
      </c>
      <c r="V271" s="205">
        <v>1034</v>
      </c>
      <c r="W271" s="111">
        <v>386.608</v>
      </c>
      <c r="X271" s="111">
        <f t="shared" si="80"/>
        <v>399752.67200000002</v>
      </c>
      <c r="Y271" s="36" t="s">
        <v>452</v>
      </c>
      <c r="AD271" t="s">
        <v>25</v>
      </c>
      <c r="AI271" s="97"/>
      <c r="AJ271" s="111"/>
      <c r="AK271" s="111"/>
      <c r="AL271" s="97"/>
      <c r="AM271" s="20">
        <f t="shared" si="87"/>
        <v>0</v>
      </c>
      <c r="AN271" s="115"/>
      <c r="AO271" s="20"/>
      <c r="AS271" t="s">
        <v>25</v>
      </c>
    </row>
    <row r="272" spans="7:46">
      <c r="G272" s="205" t="s">
        <v>6472</v>
      </c>
      <c r="H272" s="111">
        <v>93814</v>
      </c>
      <c r="R272" s="97" t="s">
        <v>4643</v>
      </c>
      <c r="S272" s="93">
        <v>11811208</v>
      </c>
      <c r="T272" t="s">
        <v>25</v>
      </c>
      <c r="U272" s="205" t="s">
        <v>4977</v>
      </c>
      <c r="V272" s="205">
        <v>300</v>
      </c>
      <c r="W272" s="111">
        <v>400</v>
      </c>
      <c r="X272" s="111">
        <f t="shared" si="80"/>
        <v>120000</v>
      </c>
      <c r="Y272" s="36" t="s">
        <v>452</v>
      </c>
      <c r="AI272" s="97"/>
      <c r="AJ272" s="111"/>
      <c r="AK272" s="111"/>
      <c r="AL272" s="97"/>
      <c r="AM272" s="20">
        <f t="shared" si="87"/>
        <v>0</v>
      </c>
      <c r="AN272" s="115"/>
      <c r="AO272" s="20"/>
    </row>
    <row r="273" spans="7:41">
      <c r="G273" s="205" t="s">
        <v>6477</v>
      </c>
      <c r="H273" s="111">
        <v>345069.28943499998</v>
      </c>
      <c r="R273" s="97" t="s">
        <v>4655</v>
      </c>
      <c r="S273" s="93">
        <v>41248054</v>
      </c>
      <c r="T273" t="s">
        <v>25</v>
      </c>
      <c r="U273" s="205" t="s">
        <v>4985</v>
      </c>
      <c r="V273" s="205">
        <v>782</v>
      </c>
      <c r="W273" s="111">
        <v>409</v>
      </c>
      <c r="X273" s="111">
        <f t="shared" si="80"/>
        <v>319838</v>
      </c>
      <c r="Y273" s="36" t="s">
        <v>743</v>
      </c>
      <c r="AI273" s="97"/>
      <c r="AJ273" s="111"/>
      <c r="AK273" s="111">
        <v>0</v>
      </c>
      <c r="AL273" s="97"/>
      <c r="AM273" s="20">
        <f t="shared" si="87"/>
        <v>0</v>
      </c>
      <c r="AN273" s="115">
        <f t="shared" si="88"/>
        <v>0</v>
      </c>
      <c r="AO273" s="20"/>
    </row>
    <row r="274" spans="7:41">
      <c r="G274" s="205" t="s">
        <v>6569</v>
      </c>
      <c r="H274" s="111">
        <v>567785.37859199999</v>
      </c>
      <c r="R274" s="97" t="s">
        <v>4662</v>
      </c>
      <c r="S274" s="93">
        <v>37328780</v>
      </c>
      <c r="U274" s="205" t="s">
        <v>4989</v>
      </c>
      <c r="V274" s="205">
        <v>1220</v>
      </c>
      <c r="W274" s="111">
        <v>409.9</v>
      </c>
      <c r="X274" s="111">
        <f t="shared" si="80"/>
        <v>500078</v>
      </c>
      <c r="Y274" s="36" t="s">
        <v>743</v>
      </c>
      <c r="AI274" s="97"/>
      <c r="AJ274" s="111"/>
      <c r="AK274" s="111"/>
      <c r="AL274" s="97">
        <v>0</v>
      </c>
      <c r="AM274" s="20">
        <f t="shared" si="87"/>
        <v>0</v>
      </c>
      <c r="AN274" s="115">
        <f t="shared" si="88"/>
        <v>0</v>
      </c>
      <c r="AO274" s="20"/>
    </row>
    <row r="275" spans="7:41">
      <c r="G275" s="205" t="s">
        <v>6580</v>
      </c>
      <c r="H275" s="111">
        <v>189683.91675</v>
      </c>
      <c r="J275" t="s">
        <v>25</v>
      </c>
      <c r="R275" s="97" t="s">
        <v>4738</v>
      </c>
      <c r="S275" s="93">
        <v>-2194100</v>
      </c>
      <c r="U275" s="205" t="s">
        <v>4991</v>
      </c>
      <c r="V275" s="205">
        <v>1285</v>
      </c>
      <c r="W275" s="111">
        <v>388.84</v>
      </c>
      <c r="X275" s="111">
        <f t="shared" si="80"/>
        <v>499659.39999999997</v>
      </c>
      <c r="Y275" s="36" t="s">
        <v>452</v>
      </c>
      <c r="AI275" s="97"/>
      <c r="AJ275" s="97"/>
      <c r="AK275" s="93">
        <f>SUM(AK20:AK274)</f>
        <v>669785949.06156397</v>
      </c>
      <c r="AL275" s="97"/>
      <c r="AM275" s="97">
        <v>0</v>
      </c>
      <c r="AN275" s="93">
        <f>SUM(AN20:AN274)</f>
        <v>649047456966</v>
      </c>
      <c r="AO275" s="93">
        <f>AN275*AO278/31</f>
        <v>348957224.6855588</v>
      </c>
    </row>
    <row r="276" spans="7:41">
      <c r="G276" s="205" t="s">
        <v>6581</v>
      </c>
      <c r="H276" s="111">
        <v>519135.75707200001</v>
      </c>
      <c r="R276" s="97" t="s">
        <v>4774</v>
      </c>
      <c r="S276" s="93">
        <v>20193916</v>
      </c>
      <c r="U276" s="205" t="s">
        <v>4982</v>
      </c>
      <c r="V276" s="205">
        <v>1924</v>
      </c>
      <c r="W276" s="111">
        <v>386.69600000000003</v>
      </c>
      <c r="X276" s="111">
        <f t="shared" si="80"/>
        <v>744003.10400000005</v>
      </c>
      <c r="Y276" s="36" t="s">
        <v>452</v>
      </c>
      <c r="AI276" s="97"/>
      <c r="AJ276" s="97"/>
      <c r="AK276" s="97" t="s">
        <v>4041</v>
      </c>
      <c r="AL276" s="97"/>
      <c r="AM276" s="97"/>
      <c r="AN276" s="97" t="s">
        <v>284</v>
      </c>
      <c r="AO276" s="97" t="s">
        <v>926</v>
      </c>
    </row>
    <row r="277" spans="7:41">
      <c r="G277" s="205" t="s">
        <v>6587</v>
      </c>
      <c r="H277" s="111">
        <v>3406413.9029760002</v>
      </c>
      <c r="R277" s="97" t="s">
        <v>4839</v>
      </c>
      <c r="S277" s="93">
        <v>-2000000</v>
      </c>
      <c r="U277" s="205" t="s">
        <v>5007</v>
      </c>
      <c r="V277" s="205">
        <v>165</v>
      </c>
      <c r="W277" s="111">
        <v>393.5</v>
      </c>
      <c r="X277" s="111">
        <f t="shared" si="80"/>
        <v>64927.5</v>
      </c>
      <c r="Y277" s="36" t="s">
        <v>452</v>
      </c>
      <c r="AI277" s="97"/>
      <c r="AJ277" s="97"/>
      <c r="AK277" s="97"/>
      <c r="AL277" s="97"/>
      <c r="AM277" s="97"/>
      <c r="AN277" s="97"/>
      <c r="AO277" s="97"/>
    </row>
    <row r="278" spans="7:41" ht="30">
      <c r="G278" s="407" t="s">
        <v>6589</v>
      </c>
      <c r="H278" s="77">
        <v>435036.348168</v>
      </c>
      <c r="R278" s="97" t="s">
        <v>4902</v>
      </c>
      <c r="S278" s="93">
        <v>6800000</v>
      </c>
      <c r="T278" t="s">
        <v>25</v>
      </c>
      <c r="U278" s="205" t="s">
        <v>5012</v>
      </c>
      <c r="V278" s="205">
        <v>-34859</v>
      </c>
      <c r="W278" s="111">
        <v>403.1585</v>
      </c>
      <c r="X278" s="111">
        <f t="shared" si="80"/>
        <v>-14053702.1515</v>
      </c>
      <c r="Y278" s="36" t="s">
        <v>5015</v>
      </c>
      <c r="AI278" s="97"/>
      <c r="AJ278" s="97"/>
      <c r="AK278" s="97"/>
      <c r="AL278" s="97"/>
      <c r="AM278" s="97"/>
      <c r="AN278" s="97" t="s">
        <v>4042</v>
      </c>
      <c r="AO278" s="97">
        <v>1.6667000000000001E-2</v>
      </c>
    </row>
    <row r="279" spans="7:41">
      <c r="G279" s="205" t="s">
        <v>6628</v>
      </c>
      <c r="H279" s="111">
        <v>2321535.4633200001</v>
      </c>
      <c r="R279" s="97" t="s">
        <v>4909</v>
      </c>
      <c r="S279" s="93">
        <v>850000</v>
      </c>
      <c r="U279" s="205" t="s">
        <v>4983</v>
      </c>
      <c r="V279" s="205">
        <v>8476</v>
      </c>
      <c r="W279" s="111">
        <v>419.49900000000002</v>
      </c>
      <c r="X279" s="111">
        <f t="shared" si="80"/>
        <v>3555673.5240000002</v>
      </c>
      <c r="Y279" s="36" t="s">
        <v>5021</v>
      </c>
      <c r="AI279" s="97"/>
      <c r="AJ279" s="97"/>
      <c r="AK279" s="97"/>
      <c r="AL279" s="97"/>
      <c r="AM279" s="97"/>
      <c r="AN279" s="97"/>
      <c r="AO279" s="97"/>
    </row>
    <row r="280" spans="7:41">
      <c r="G280" s="205" t="s">
        <v>6909</v>
      </c>
      <c r="H280" s="111">
        <v>1098146.8035800001</v>
      </c>
      <c r="R280" s="97" t="s">
        <v>4917</v>
      </c>
      <c r="S280" s="93">
        <v>2290500</v>
      </c>
      <c r="U280" s="205" t="s">
        <v>5033</v>
      </c>
      <c r="V280" s="205">
        <v>903</v>
      </c>
      <c r="W280" s="111">
        <v>442.77379999999999</v>
      </c>
      <c r="X280" s="111">
        <f t="shared" si="80"/>
        <v>399824.7414</v>
      </c>
      <c r="Y280" s="36" t="s">
        <v>743</v>
      </c>
      <c r="AI280" s="97"/>
      <c r="AJ280" s="97" t="s">
        <v>4043</v>
      </c>
      <c r="AK280" s="93">
        <f>AK275+AO275</f>
        <v>1018743173.7471228</v>
      </c>
      <c r="AL280" s="97"/>
      <c r="AM280" s="97"/>
      <c r="AN280" s="97"/>
      <c r="AO280" s="97"/>
    </row>
    <row r="281" spans="7:41">
      <c r="G281" s="205" t="s">
        <v>6914</v>
      </c>
      <c r="H281" s="111">
        <v>540424.560405</v>
      </c>
      <c r="R281" s="97" t="s">
        <v>4925</v>
      </c>
      <c r="S281" s="93">
        <v>400000</v>
      </c>
      <c r="T281" t="s">
        <v>25</v>
      </c>
      <c r="U281" s="205" t="s">
        <v>5036</v>
      </c>
      <c r="V281" s="205">
        <v>113</v>
      </c>
      <c r="W281" s="111">
        <v>442.48200000000003</v>
      </c>
      <c r="X281" s="111">
        <f t="shared" ref="X281:X362" si="89">V281*W281</f>
        <v>50000.466</v>
      </c>
      <c r="Y281" s="36" t="s">
        <v>743</v>
      </c>
      <c r="AJ281" t="s">
        <v>4046</v>
      </c>
      <c r="AK281" s="112">
        <f>SUM(N47:N56)</f>
        <v>6138331331</v>
      </c>
      <c r="AN281" t="s">
        <v>25</v>
      </c>
    </row>
    <row r="282" spans="7:41">
      <c r="G282" s="205" t="s">
        <v>6916</v>
      </c>
      <c r="H282" s="111">
        <v>2781712.2405709997</v>
      </c>
      <c r="R282" s="97" t="s">
        <v>4932</v>
      </c>
      <c r="S282" s="93">
        <v>150000</v>
      </c>
      <c r="U282" s="205" t="s">
        <v>5046</v>
      </c>
      <c r="V282" s="205">
        <v>671</v>
      </c>
      <c r="W282" s="111">
        <v>447</v>
      </c>
      <c r="X282" s="111">
        <f t="shared" si="89"/>
        <v>299937</v>
      </c>
      <c r="Y282" s="36" t="s">
        <v>743</v>
      </c>
      <c r="AJ282" t="s">
        <v>4116</v>
      </c>
      <c r="AK282" s="112">
        <f>AK281-AK275</f>
        <v>5468545381.9384365</v>
      </c>
      <c r="AN282" t="s">
        <v>25</v>
      </c>
    </row>
    <row r="283" spans="7:41">
      <c r="G283" s="205" t="s">
        <v>6924</v>
      </c>
      <c r="H283" s="111">
        <v>109680.86334900001</v>
      </c>
      <c r="R283" s="97" t="s">
        <v>4960</v>
      </c>
      <c r="S283" s="93">
        <v>-144950</v>
      </c>
      <c r="U283" s="205" t="s">
        <v>5048</v>
      </c>
      <c r="V283" s="205">
        <v>7</v>
      </c>
      <c r="W283" s="111">
        <v>465.31200000000001</v>
      </c>
      <c r="X283" s="111">
        <f t="shared" si="89"/>
        <v>3257.1840000000002</v>
      </c>
      <c r="Y283" s="36" t="s">
        <v>452</v>
      </c>
      <c r="AJ283" t="s">
        <v>926</v>
      </c>
      <c r="AK283" s="112">
        <f>AO275</f>
        <v>348957224.6855588</v>
      </c>
      <c r="AO283" t="s">
        <v>25</v>
      </c>
    </row>
    <row r="284" spans="7:41">
      <c r="G284" s="205" t="s">
        <v>6945</v>
      </c>
      <c r="H284" s="111">
        <v>13945790.265610002</v>
      </c>
      <c r="R284" s="97" t="s">
        <v>4985</v>
      </c>
      <c r="S284" s="93">
        <v>320000</v>
      </c>
      <c r="U284" s="205" t="s">
        <v>5052</v>
      </c>
      <c r="V284" s="205">
        <v>12950</v>
      </c>
      <c r="W284" s="111">
        <v>463.31599999999997</v>
      </c>
      <c r="X284" s="111">
        <f t="shared" si="89"/>
        <v>5999942.1999999993</v>
      </c>
      <c r="Y284" s="36" t="s">
        <v>452</v>
      </c>
      <c r="AJ284" t="s">
        <v>4047</v>
      </c>
      <c r="AK284" s="112">
        <f>AK281-AK280</f>
        <v>5119588157.2528772</v>
      </c>
      <c r="AO284" t="s">
        <v>25</v>
      </c>
    </row>
    <row r="285" spans="7:41">
      <c r="G285" s="205" t="s">
        <v>6947</v>
      </c>
      <c r="H285" s="111">
        <v>457914.84466800001</v>
      </c>
      <c r="O285" t="s">
        <v>25</v>
      </c>
      <c r="R285" s="97" t="s">
        <v>4989</v>
      </c>
      <c r="S285" s="93">
        <v>500000</v>
      </c>
      <c r="T285" t="s">
        <v>25</v>
      </c>
      <c r="U285" s="205" t="s">
        <v>5054</v>
      </c>
      <c r="V285" s="205">
        <v>37</v>
      </c>
      <c r="W285" s="111">
        <v>463.315</v>
      </c>
      <c r="X285" s="111">
        <f t="shared" si="89"/>
        <v>17142.654999999999</v>
      </c>
      <c r="Y285" s="36" t="s">
        <v>452</v>
      </c>
      <c r="AN285" t="s">
        <v>25</v>
      </c>
    </row>
    <row r="286" spans="7:41">
      <c r="G286" s="205" t="s">
        <v>6949</v>
      </c>
      <c r="H286" s="111">
        <v>974570.33942399989</v>
      </c>
      <c r="R286" s="97" t="s">
        <v>5033</v>
      </c>
      <c r="S286" s="93">
        <v>400000</v>
      </c>
      <c r="T286" t="s">
        <v>25</v>
      </c>
      <c r="U286" s="205" t="s">
        <v>5055</v>
      </c>
      <c r="V286" s="205">
        <v>19</v>
      </c>
      <c r="W286" s="111">
        <v>434.3</v>
      </c>
      <c r="X286" s="111">
        <f t="shared" si="89"/>
        <v>8251.7000000000007</v>
      </c>
      <c r="Y286" s="36" t="s">
        <v>452</v>
      </c>
      <c r="Z286" t="s">
        <v>25</v>
      </c>
      <c r="AK286" t="s">
        <v>25</v>
      </c>
    </row>
    <row r="287" spans="7:41">
      <c r="G287" s="205" t="s">
        <v>6951</v>
      </c>
      <c r="H287" s="111">
        <v>746198.52596400003</v>
      </c>
      <c r="J287" t="s">
        <v>25</v>
      </c>
      <c r="R287" s="97" t="s">
        <v>5036</v>
      </c>
      <c r="S287" s="93">
        <v>50000</v>
      </c>
      <c r="T287" t="s">
        <v>25</v>
      </c>
      <c r="U287" s="205" t="s">
        <v>5057</v>
      </c>
      <c r="V287" s="205">
        <v>16</v>
      </c>
      <c r="W287" s="111">
        <v>439</v>
      </c>
      <c r="X287" s="111">
        <f t="shared" si="89"/>
        <v>7024</v>
      </c>
      <c r="Y287" s="36" t="s">
        <v>452</v>
      </c>
      <c r="Z287" t="s">
        <v>25</v>
      </c>
    </row>
    <row r="288" spans="7:41" ht="45">
      <c r="G288" s="205" t="s">
        <v>6954</v>
      </c>
      <c r="H288" s="111">
        <v>416108</v>
      </c>
      <c r="R288" s="97" t="s">
        <v>5046</v>
      </c>
      <c r="S288" s="93">
        <v>300000</v>
      </c>
      <c r="U288" s="205" t="s">
        <v>5057</v>
      </c>
      <c r="V288" s="205">
        <v>9191</v>
      </c>
      <c r="W288" s="111">
        <v>440.24630000000002</v>
      </c>
      <c r="X288" s="111">
        <f t="shared" si="89"/>
        <v>4046303.7433000002</v>
      </c>
      <c r="Y288" s="36" t="s">
        <v>5058</v>
      </c>
    </row>
    <row r="289" spans="7:45">
      <c r="G289" s="205" t="s">
        <v>6969</v>
      </c>
      <c r="H289" s="111">
        <v>361620.57555000001</v>
      </c>
      <c r="R289" s="97" t="s">
        <v>5067</v>
      </c>
      <c r="S289" s="93">
        <v>250000</v>
      </c>
      <c r="U289" s="205" t="s">
        <v>5060</v>
      </c>
      <c r="V289" s="205">
        <v>-8792</v>
      </c>
      <c r="W289" s="111">
        <v>441.90665999999999</v>
      </c>
      <c r="X289" s="111">
        <f t="shared" si="89"/>
        <v>-3885243.3547199997</v>
      </c>
      <c r="Y289" s="36" t="s">
        <v>5061</v>
      </c>
    </row>
    <row r="290" spans="7:45">
      <c r="G290" s="205" t="s">
        <v>6970</v>
      </c>
      <c r="H290" s="111">
        <v>761310.51884999999</v>
      </c>
      <c r="R290" s="97" t="s">
        <v>5100</v>
      </c>
      <c r="S290" s="93">
        <v>200000</v>
      </c>
      <c r="U290" s="205" t="s">
        <v>5067</v>
      </c>
      <c r="V290" s="205">
        <v>530</v>
      </c>
      <c r="W290" s="111">
        <v>472</v>
      </c>
      <c r="X290" s="111">
        <f t="shared" si="89"/>
        <v>250160</v>
      </c>
      <c r="Y290" s="36" t="s">
        <v>743</v>
      </c>
    </row>
    <row r="291" spans="7:45" ht="30">
      <c r="G291" s="205" t="s">
        <v>6973</v>
      </c>
      <c r="H291" s="111">
        <v>3047100.3041699999</v>
      </c>
      <c r="R291" s="97" t="s">
        <v>5132</v>
      </c>
      <c r="S291" s="93">
        <v>122000</v>
      </c>
      <c r="U291" s="205" t="s">
        <v>5067</v>
      </c>
      <c r="V291" s="205">
        <v>12</v>
      </c>
      <c r="W291" s="111">
        <v>481.86</v>
      </c>
      <c r="X291" s="111">
        <f t="shared" si="89"/>
        <v>5782.32</v>
      </c>
      <c r="Y291" s="36" t="s">
        <v>5069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5140</v>
      </c>
      <c r="S292" s="93">
        <v>200000</v>
      </c>
      <c r="T292" t="s">
        <v>25</v>
      </c>
      <c r="U292" s="205" t="s">
        <v>5093</v>
      </c>
      <c r="V292" s="205">
        <v>846</v>
      </c>
      <c r="W292" s="111">
        <v>472.7</v>
      </c>
      <c r="X292" s="111">
        <f t="shared" si="89"/>
        <v>399904.2</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5150</v>
      </c>
      <c r="S293" s="93">
        <v>60000</v>
      </c>
      <c r="U293" s="205" t="s">
        <v>5096</v>
      </c>
      <c r="V293" s="205">
        <v>191</v>
      </c>
      <c r="W293" s="111">
        <v>484.572</v>
      </c>
      <c r="X293" s="111">
        <f t="shared" si="89"/>
        <v>92553.252000000008</v>
      </c>
      <c r="Y293" s="36" t="s">
        <v>5097</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5209</v>
      </c>
      <c r="S294" s="93">
        <v>-200000</v>
      </c>
      <c r="T294" t="s">
        <v>25</v>
      </c>
      <c r="U294" s="205" t="s">
        <v>5096</v>
      </c>
      <c r="V294" s="205">
        <v>-206</v>
      </c>
      <c r="W294" s="111">
        <v>484.572</v>
      </c>
      <c r="X294" s="111">
        <f t="shared" si="89"/>
        <v>-99821.831999999995</v>
      </c>
      <c r="Y294" s="36" t="s">
        <v>5099</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5271</v>
      </c>
      <c r="S295" s="93">
        <v>-9000000</v>
      </c>
      <c r="U295" s="205" t="s">
        <v>5100</v>
      </c>
      <c r="V295" s="205">
        <v>20685</v>
      </c>
      <c r="W295" s="111">
        <v>483.43312200000003</v>
      </c>
      <c r="X295" s="111">
        <f t="shared" si="89"/>
        <v>9999814.1285699997</v>
      </c>
      <c r="Y295" s="36" t="s">
        <v>5102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5328</v>
      </c>
      <c r="S296" s="93">
        <v>-26000000</v>
      </c>
      <c r="U296" s="205" t="s">
        <v>5100</v>
      </c>
      <c r="V296" s="205">
        <v>-413</v>
      </c>
      <c r="W296" s="111">
        <v>483.40199999999999</v>
      </c>
      <c r="X296" s="111">
        <f t="shared" si="89"/>
        <v>-199645.02599999998</v>
      </c>
      <c r="Y296" s="36" t="s">
        <v>4406</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5332</v>
      </c>
      <c r="S297" s="93">
        <v>-95900000</v>
      </c>
      <c r="U297" s="205" t="s">
        <v>5100</v>
      </c>
      <c r="V297" s="205">
        <v>413</v>
      </c>
      <c r="W297" s="111">
        <v>483.40199999999999</v>
      </c>
      <c r="X297" s="111">
        <f t="shared" si="89"/>
        <v>199645.02599999998</v>
      </c>
      <c r="Y297" s="36" t="s">
        <v>743</v>
      </c>
      <c r="AI297" s="97">
        <v>6</v>
      </c>
      <c r="AJ297" s="97" t="s">
        <v>4214</v>
      </c>
      <c r="AK297" s="115">
        <v>-65000</v>
      </c>
      <c r="AL297" s="97">
        <v>1</v>
      </c>
      <c r="AM297" s="97">
        <f t="shared" si="90"/>
        <v>911</v>
      </c>
      <c r="AN297" s="97">
        <f t="shared" si="91"/>
        <v>-59215000</v>
      </c>
      <c r="AO297" s="97"/>
    </row>
    <row r="298" spans="7:45">
      <c r="G298" s="205" t="s">
        <v>7088</v>
      </c>
      <c r="H298" s="111">
        <v>1940857.6749900002</v>
      </c>
      <c r="R298" s="97" t="s">
        <v>5333</v>
      </c>
      <c r="S298" s="93">
        <v>-28950000</v>
      </c>
      <c r="T298" t="s">
        <v>25</v>
      </c>
      <c r="U298" s="205" t="s">
        <v>5105</v>
      </c>
      <c r="V298" s="205">
        <v>-828</v>
      </c>
      <c r="W298" s="111">
        <v>483.43312200000003</v>
      </c>
      <c r="X298" s="111">
        <f t="shared" si="89"/>
        <v>-400282.62501600001</v>
      </c>
      <c r="Y298" s="36" t="s">
        <v>452</v>
      </c>
      <c r="AI298" s="97">
        <v>7</v>
      </c>
      <c r="AJ298" s="97" t="s">
        <v>4285</v>
      </c>
      <c r="AK298" s="115">
        <v>-95000</v>
      </c>
      <c r="AL298" s="97">
        <v>6</v>
      </c>
      <c r="AM298" s="97">
        <f t="shared" si="90"/>
        <v>910</v>
      </c>
      <c r="AN298" s="97">
        <f t="shared" si="91"/>
        <v>-86450000</v>
      </c>
      <c r="AO298" s="97"/>
    </row>
    <row r="299" spans="7:45">
      <c r="G299" s="205"/>
      <c r="H299" s="111"/>
      <c r="R299" s="97" t="s">
        <v>5475</v>
      </c>
      <c r="S299" s="93">
        <v>-93000000</v>
      </c>
      <c r="T299" t="s">
        <v>25</v>
      </c>
      <c r="U299" s="205" t="s">
        <v>5108</v>
      </c>
      <c r="V299" s="205">
        <v>12</v>
      </c>
      <c r="W299" s="111">
        <v>473.61898300000001</v>
      </c>
      <c r="X299" s="111">
        <f t="shared" si="89"/>
        <v>5683.4277959999999</v>
      </c>
      <c r="Y299" s="36" t="s">
        <v>452</v>
      </c>
      <c r="AI299" s="97">
        <v>8</v>
      </c>
      <c r="AJ299" s="97" t="s">
        <v>4286</v>
      </c>
      <c r="AK299" s="115">
        <v>232000</v>
      </c>
      <c r="AL299" s="97">
        <v>7</v>
      </c>
      <c r="AM299" s="97">
        <f t="shared" si="90"/>
        <v>904</v>
      </c>
      <c r="AN299" s="97">
        <f t="shared" si="91"/>
        <v>209728000</v>
      </c>
      <c r="AO299" s="97"/>
    </row>
    <row r="300" spans="7:45">
      <c r="G300" s="205"/>
      <c r="H300" s="111"/>
      <c r="R300" s="97" t="s">
        <v>5484</v>
      </c>
      <c r="S300" s="93">
        <v>50000000</v>
      </c>
      <c r="U300" s="205" t="s">
        <v>5111</v>
      </c>
      <c r="V300" s="205">
        <v>963</v>
      </c>
      <c r="W300" s="111">
        <v>477.92200000000003</v>
      </c>
      <c r="X300" s="111">
        <f t="shared" si="89"/>
        <v>460238.886</v>
      </c>
      <c r="Y300" s="36" t="s">
        <v>452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4209</v>
      </c>
      <c r="S301" s="93">
        <v>2749471.1668000002</v>
      </c>
      <c r="U301" s="205" t="s">
        <v>5112</v>
      </c>
      <c r="V301" s="205">
        <v>2815</v>
      </c>
      <c r="W301" s="111">
        <v>461.79</v>
      </c>
      <c r="X301" s="111">
        <f t="shared" si="89"/>
        <v>1299938.8500000001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5573</v>
      </c>
      <c r="S302" s="93">
        <v>-680940.07019999996</v>
      </c>
      <c r="U302" s="205" t="s">
        <v>5112</v>
      </c>
      <c r="V302" s="205">
        <v>1581</v>
      </c>
      <c r="W302" s="111">
        <v>461.79</v>
      </c>
      <c r="X302" s="111">
        <f t="shared" si="89"/>
        <v>730089.99</v>
      </c>
      <c r="Y302" s="36" t="s">
        <v>452</v>
      </c>
      <c r="Z302" t="s">
        <v>25</v>
      </c>
      <c r="AI302" s="97">
        <v>11</v>
      </c>
      <c r="AJ302" s="97" t="s">
        <v>4276</v>
      </c>
      <c r="AK302" s="115">
        <v>3400000</v>
      </c>
      <c r="AL302" s="97">
        <v>9</v>
      </c>
      <c r="AM302" s="97">
        <f t="shared" si="90"/>
        <v>892</v>
      </c>
      <c r="AN302" s="97">
        <f t="shared" si="91"/>
        <v>3032800000</v>
      </c>
      <c r="AO302" s="97"/>
    </row>
    <row r="303" spans="7:45">
      <c r="G303" s="205"/>
      <c r="H303" s="111"/>
      <c r="P303" t="s">
        <v>25</v>
      </c>
      <c r="R303" s="97" t="s">
        <v>5573</v>
      </c>
      <c r="S303" s="93">
        <v>-48684800.338199995</v>
      </c>
      <c r="U303" s="205" t="s">
        <v>975</v>
      </c>
      <c r="V303" s="205">
        <v>41</v>
      </c>
      <c r="W303" s="111">
        <v>514.48099999999999</v>
      </c>
      <c r="X303" s="111">
        <f t="shared" si="89"/>
        <v>21093.721000000001</v>
      </c>
      <c r="Y303" s="36" t="s">
        <v>5097</v>
      </c>
      <c r="AI303" s="97">
        <v>12</v>
      </c>
      <c r="AJ303" s="97" t="s">
        <v>4313</v>
      </c>
      <c r="AK303" s="115">
        <v>-8736514</v>
      </c>
      <c r="AL303" s="97">
        <v>1</v>
      </c>
      <c r="AM303" s="97">
        <f>AL303+AM304</f>
        <v>883</v>
      </c>
      <c r="AN303" s="97">
        <f t="shared" si="91"/>
        <v>-7714341862</v>
      </c>
      <c r="AO303" s="97"/>
    </row>
    <row r="304" spans="7:45">
      <c r="G304" s="205"/>
      <c r="H304" s="111"/>
      <c r="R304" s="97" t="s">
        <v>5597</v>
      </c>
      <c r="S304" s="93">
        <v>1500000</v>
      </c>
      <c r="T304" t="s">
        <v>25</v>
      </c>
      <c r="U304" s="205" t="s">
        <v>4253</v>
      </c>
      <c r="V304" s="205">
        <v>71</v>
      </c>
      <c r="W304" s="111">
        <v>482.57</v>
      </c>
      <c r="X304" s="111">
        <f t="shared" si="89"/>
        <v>34262.47</v>
      </c>
      <c r="Y304" s="36" t="s">
        <v>5097</v>
      </c>
      <c r="AI304" s="97">
        <v>13</v>
      </c>
      <c r="AJ304" s="97" t="s">
        <v>4314</v>
      </c>
      <c r="AK304" s="115">
        <v>555000</v>
      </c>
      <c r="AL304" s="97">
        <v>5</v>
      </c>
      <c r="AM304" s="97">
        <f t="shared" ref="AM304:AM320" si="92">AL304+AM305</f>
        <v>882</v>
      </c>
      <c r="AN304" s="97">
        <f t="shared" si="91"/>
        <v>489510000</v>
      </c>
      <c r="AO304" s="97"/>
    </row>
    <row r="305" spans="7:41">
      <c r="G305" s="205"/>
      <c r="H305" s="111"/>
      <c r="R305" s="97" t="s">
        <v>963</v>
      </c>
      <c r="S305" s="93">
        <v>11221062</v>
      </c>
      <c r="T305" t="s">
        <v>25</v>
      </c>
      <c r="U305" s="205" t="s">
        <v>5132</v>
      </c>
      <c r="V305" s="205">
        <v>-250</v>
      </c>
      <c r="W305" s="111">
        <v>487.125</v>
      </c>
      <c r="X305" s="111">
        <f t="shared" si="89"/>
        <v>-121781.25</v>
      </c>
      <c r="Y305" s="36" t="s">
        <v>4406</v>
      </c>
      <c r="AI305" s="97">
        <v>14</v>
      </c>
      <c r="AJ305" s="97" t="s">
        <v>4338</v>
      </c>
      <c r="AK305" s="115">
        <v>-448308</v>
      </c>
      <c r="AL305" s="97">
        <v>6</v>
      </c>
      <c r="AM305" s="97">
        <f t="shared" si="92"/>
        <v>877</v>
      </c>
      <c r="AN305" s="97">
        <f t="shared" si="91"/>
        <v>-393166116</v>
      </c>
      <c r="AO305" s="97"/>
    </row>
    <row r="306" spans="7:41">
      <c r="G306" s="205"/>
      <c r="H306" s="111"/>
      <c r="R306" s="97" t="s">
        <v>5803</v>
      </c>
      <c r="S306" s="93">
        <v>20031495.928431001</v>
      </c>
      <c r="U306" s="205" t="s">
        <v>5132</v>
      </c>
      <c r="V306" s="205">
        <v>250</v>
      </c>
      <c r="W306" s="111">
        <v>487.125</v>
      </c>
      <c r="X306" s="111">
        <f t="shared" si="89"/>
        <v>121781.25</v>
      </c>
      <c r="Y306" s="36" t="s">
        <v>743</v>
      </c>
      <c r="AI306" s="97">
        <v>15</v>
      </c>
      <c r="AJ306" s="97" t="s">
        <v>4365</v>
      </c>
      <c r="AK306" s="115">
        <v>33225</v>
      </c>
      <c r="AL306" s="97">
        <v>0</v>
      </c>
      <c r="AM306" s="97">
        <f t="shared" si="92"/>
        <v>871</v>
      </c>
      <c r="AN306" s="97">
        <f t="shared" si="91"/>
        <v>28938975</v>
      </c>
      <c r="AO306" s="97"/>
    </row>
    <row r="307" spans="7:41">
      <c r="G307" s="205" t="s">
        <v>5471</v>
      </c>
      <c r="H307" s="111">
        <v>-87000000</v>
      </c>
      <c r="R307" s="97" t="s">
        <v>5814</v>
      </c>
      <c r="S307" s="93">
        <v>-154353015.43906799</v>
      </c>
      <c r="T307" t="s">
        <v>25</v>
      </c>
      <c r="U307" s="205" t="s">
        <v>5140</v>
      </c>
      <c r="V307" s="205">
        <v>-1439</v>
      </c>
      <c r="W307" s="111">
        <v>486.53068999999999</v>
      </c>
      <c r="X307" s="111">
        <f t="shared" si="89"/>
        <v>-700117.66290999996</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5833</v>
      </c>
      <c r="S308" s="93">
        <v>16643927.89773</v>
      </c>
      <c r="T308" t="s">
        <v>25</v>
      </c>
      <c r="U308" s="205" t="s">
        <v>5140</v>
      </c>
      <c r="V308" s="205">
        <v>411</v>
      </c>
      <c r="W308" s="111">
        <v>486.53068999999999</v>
      </c>
      <c r="X308" s="111">
        <f t="shared" si="89"/>
        <v>199964.11358999999</v>
      </c>
      <c r="Y308" s="36" t="s">
        <v>743</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5834</v>
      </c>
      <c r="S309" s="93">
        <v>33355467.51292</v>
      </c>
      <c r="U309" s="205" t="s">
        <v>5110</v>
      </c>
      <c r="V309" s="205">
        <v>-4290</v>
      </c>
      <c r="W309" s="111">
        <v>497.57670000000002</v>
      </c>
      <c r="X309" s="111">
        <f t="shared" si="89"/>
        <v>-2134604.0430000001</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6379</v>
      </c>
      <c r="S310" s="93">
        <v>30000000</v>
      </c>
      <c r="T310" t="s">
        <v>25</v>
      </c>
      <c r="U310" s="205" t="s">
        <v>5147</v>
      </c>
      <c r="V310" s="205">
        <v>-644</v>
      </c>
      <c r="W310" s="111">
        <v>494.76464499999997</v>
      </c>
      <c r="X310" s="111">
        <f t="shared" si="89"/>
        <v>-318628.43137999997</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6392</v>
      </c>
      <c r="S311" s="93">
        <v>6000000</v>
      </c>
      <c r="U311" s="205" t="s">
        <v>5150</v>
      </c>
      <c r="V311" s="205">
        <v>-112</v>
      </c>
      <c r="W311" s="111">
        <v>485.78</v>
      </c>
      <c r="X311" s="111">
        <f t="shared" si="89"/>
        <v>-54407.360000000001</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6477</v>
      </c>
      <c r="S312" s="93">
        <v>126128.77475900001</v>
      </c>
      <c r="U312" s="205" t="s">
        <v>5150</v>
      </c>
      <c r="V312" s="205">
        <v>123</v>
      </c>
      <c r="W312" s="111">
        <v>485.78</v>
      </c>
      <c r="X312" s="111">
        <f t="shared" si="89"/>
        <v>59750.939999999995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7061</v>
      </c>
      <c r="S313" s="93">
        <v>7000000</v>
      </c>
      <c r="U313" s="205" t="s">
        <v>5150</v>
      </c>
      <c r="V313" s="205">
        <v>-123</v>
      </c>
      <c r="W313" s="111">
        <v>485.78</v>
      </c>
      <c r="X313" s="111">
        <f t="shared" si="89"/>
        <v>-59750.939999999995</v>
      </c>
      <c r="Y313" s="36" t="s">
        <v>4406</v>
      </c>
      <c r="AI313" s="97">
        <v>22</v>
      </c>
      <c r="AJ313" s="97" t="s">
        <v>4399</v>
      </c>
      <c r="AK313" s="115">
        <v>-189619</v>
      </c>
      <c r="AL313" s="97">
        <v>15</v>
      </c>
      <c r="AM313" s="97">
        <f t="shared" si="92"/>
        <v>857</v>
      </c>
      <c r="AN313" s="97">
        <f t="shared" si="91"/>
        <v>-162503483</v>
      </c>
      <c r="AO313" s="97"/>
    </row>
    <row r="314" spans="7:41">
      <c r="P314" t="s">
        <v>25</v>
      </c>
      <c r="R314" s="97"/>
      <c r="S314" s="93"/>
      <c r="T314" t="s">
        <v>25</v>
      </c>
      <c r="U314" s="205" t="s">
        <v>5193</v>
      </c>
      <c r="V314" s="205">
        <v>32367</v>
      </c>
      <c r="W314" s="111">
        <v>556.12900000000002</v>
      </c>
      <c r="X314" s="111">
        <f t="shared" si="89"/>
        <v>18000227.343000002</v>
      </c>
      <c r="Y314" s="36" t="s">
        <v>452</v>
      </c>
      <c r="AI314" s="191">
        <v>23</v>
      </c>
      <c r="AJ314" s="191" t="s">
        <v>4459</v>
      </c>
      <c r="AK314" s="186">
        <v>7100</v>
      </c>
      <c r="AL314" s="191">
        <v>0</v>
      </c>
      <c r="AM314" s="147">
        <f t="shared" si="92"/>
        <v>842</v>
      </c>
      <c r="AN314" s="191">
        <f t="shared" si="91"/>
        <v>5978200</v>
      </c>
      <c r="AO314" s="191" t="s">
        <v>649</v>
      </c>
    </row>
    <row r="315" spans="7:41">
      <c r="R315" s="97"/>
      <c r="S315" s="93"/>
      <c r="U315" s="205" t="s">
        <v>5209</v>
      </c>
      <c r="V315" s="205">
        <v>1254</v>
      </c>
      <c r="W315" s="111">
        <v>558.24400000000003</v>
      </c>
      <c r="X315" s="111">
        <f t="shared" si="89"/>
        <v>700037.97600000002</v>
      </c>
      <c r="Y315" s="36" t="s">
        <v>4406</v>
      </c>
      <c r="AI315" s="20">
        <v>24</v>
      </c>
      <c r="AJ315" s="20" t="s">
        <v>4459</v>
      </c>
      <c r="AK315" s="115">
        <v>-147902</v>
      </c>
      <c r="AL315" s="20">
        <v>3</v>
      </c>
      <c r="AM315" s="97">
        <f t="shared" si="92"/>
        <v>842</v>
      </c>
      <c r="AN315" s="20">
        <f t="shared" si="91"/>
        <v>-124533484</v>
      </c>
      <c r="AO315" s="20"/>
    </row>
    <row r="316" spans="7:41">
      <c r="G316" s="94"/>
      <c r="H316" s="9" t="s">
        <v>452</v>
      </c>
      <c r="R316" s="97"/>
      <c r="S316" s="93"/>
      <c r="U316" s="166" t="s">
        <v>5209</v>
      </c>
      <c r="V316" s="205">
        <v>-358</v>
      </c>
      <c r="W316" s="111">
        <v>558.24400000000003</v>
      </c>
      <c r="X316" s="111">
        <f t="shared" si="89"/>
        <v>-199851.35200000001</v>
      </c>
      <c r="Y316" s="36" t="s">
        <v>743</v>
      </c>
      <c r="AA316" t="s">
        <v>25</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U317" s="187" t="s">
        <v>5228</v>
      </c>
      <c r="V317" s="187">
        <v>63259</v>
      </c>
      <c r="W317" s="186">
        <v>632.31960000000004</v>
      </c>
      <c r="X317" s="186">
        <f t="shared" si="89"/>
        <v>39999905.576400004</v>
      </c>
      <c r="Y317" s="258" t="s">
        <v>1069</v>
      </c>
      <c r="AI317" s="97">
        <v>26</v>
      </c>
      <c r="AJ317" s="97" t="s">
        <v>4494</v>
      </c>
      <c r="AK317" s="115">
        <v>-372326</v>
      </c>
      <c r="AL317" s="97">
        <v>21</v>
      </c>
      <c r="AM317" s="97">
        <f t="shared" si="92"/>
        <v>835</v>
      </c>
      <c r="AN317" s="20">
        <f t="shared" si="91"/>
        <v>-310892210</v>
      </c>
      <c r="AO317" s="97"/>
    </row>
    <row r="318" spans="7:41">
      <c r="G318" s="94"/>
      <c r="H318" s="9" t="s">
        <v>5405</v>
      </c>
      <c r="R318" s="97" t="s">
        <v>25</v>
      </c>
      <c r="S318" s="93"/>
      <c r="U318" s="19" t="s">
        <v>5232</v>
      </c>
      <c r="V318" s="19">
        <v>-1278</v>
      </c>
      <c r="W318" s="115">
        <v>625.98</v>
      </c>
      <c r="X318" s="115">
        <f t="shared" si="89"/>
        <v>-800002.44000000006</v>
      </c>
      <c r="Y318" s="259" t="s">
        <v>5233</v>
      </c>
      <c r="AI318" s="97">
        <v>27</v>
      </c>
      <c r="AJ318" s="97" t="s">
        <v>4541</v>
      </c>
      <c r="AK318" s="115">
        <v>235062</v>
      </c>
      <c r="AL318" s="97">
        <v>0</v>
      </c>
      <c r="AM318" s="97">
        <f t="shared" si="92"/>
        <v>814</v>
      </c>
      <c r="AN318" s="20">
        <f t="shared" si="91"/>
        <v>191340468</v>
      </c>
      <c r="AO318" s="97"/>
    </row>
    <row r="319" spans="7:41">
      <c r="G319" s="94"/>
      <c r="H319" s="9" t="s">
        <v>1069</v>
      </c>
      <c r="R319" s="97"/>
      <c r="S319" s="93">
        <f>SUM(S255:S318)</f>
        <v>158842622.43317199</v>
      </c>
      <c r="U319" s="19" t="s">
        <v>5237</v>
      </c>
      <c r="V319" s="19">
        <v>32049</v>
      </c>
      <c r="W319" s="115">
        <v>624.04600000000005</v>
      </c>
      <c r="X319" s="115">
        <f t="shared" si="89"/>
        <v>20000050.254000001</v>
      </c>
      <c r="Y319" s="259" t="s">
        <v>5102</v>
      </c>
      <c r="AA319" t="s">
        <v>25</v>
      </c>
      <c r="AI319" s="147">
        <v>28</v>
      </c>
      <c r="AJ319" s="147" t="s">
        <v>4541</v>
      </c>
      <c r="AK319" s="186">
        <v>235062</v>
      </c>
      <c r="AL319" s="147">
        <v>9</v>
      </c>
      <c r="AM319" s="97">
        <f t="shared" si="92"/>
        <v>814</v>
      </c>
      <c r="AN319" s="147">
        <f t="shared" si="91"/>
        <v>191340468</v>
      </c>
      <c r="AO319" s="147" t="s">
        <v>649</v>
      </c>
    </row>
    <row r="320" spans="7:41" ht="30">
      <c r="H320" s="9" t="s">
        <v>5343</v>
      </c>
      <c r="S320" s="97" t="s">
        <v>6</v>
      </c>
      <c r="U320" s="19" t="s">
        <v>5244</v>
      </c>
      <c r="V320" s="19">
        <v>45094</v>
      </c>
      <c r="W320" s="115">
        <v>614.13559759999998</v>
      </c>
      <c r="X320" s="115">
        <f t="shared" si="89"/>
        <v>27693830.6381744</v>
      </c>
      <c r="Y320" s="259" t="s">
        <v>5246</v>
      </c>
      <c r="Z320" t="s">
        <v>25</v>
      </c>
      <c r="AI320" s="147">
        <v>29</v>
      </c>
      <c r="AJ320" s="147" t="s">
        <v>4559</v>
      </c>
      <c r="AK320" s="186">
        <v>450000</v>
      </c>
      <c r="AL320" s="147">
        <v>0</v>
      </c>
      <c r="AM320" s="97">
        <f t="shared" si="92"/>
        <v>805</v>
      </c>
      <c r="AN320" s="147">
        <f t="shared" si="91"/>
        <v>362250000</v>
      </c>
      <c r="AO320" s="147" t="s">
        <v>649</v>
      </c>
    </row>
    <row r="321" spans="8:45" ht="30">
      <c r="H321" s="9" t="s">
        <v>5505</v>
      </c>
      <c r="S321" t="s">
        <v>25</v>
      </c>
      <c r="U321" s="19" t="s">
        <v>5271</v>
      </c>
      <c r="V321" s="19">
        <v>-11804</v>
      </c>
      <c r="W321" s="115">
        <v>762.46640000000002</v>
      </c>
      <c r="X321" s="115">
        <f t="shared" si="89"/>
        <v>-9000153.3856000006</v>
      </c>
      <c r="Y321" s="259" t="s">
        <v>5273</v>
      </c>
      <c r="AI321" s="20">
        <v>30</v>
      </c>
      <c r="AJ321" s="20" t="s">
        <v>4559</v>
      </c>
      <c r="AK321" s="115">
        <v>450000</v>
      </c>
      <c r="AL321" s="20">
        <v>22</v>
      </c>
      <c r="AM321" s="97">
        <f>AL321+AM322</f>
        <v>805</v>
      </c>
      <c r="AN321" s="20">
        <f t="shared" si="91"/>
        <v>362250000</v>
      </c>
      <c r="AO321" s="20"/>
    </row>
    <row r="322" spans="8:45">
      <c r="H322" s="279" t="s">
        <v>5506</v>
      </c>
      <c r="R322" s="97" t="s">
        <v>452</v>
      </c>
      <c r="U322" s="19" t="s">
        <v>5314</v>
      </c>
      <c r="V322" s="19">
        <v>844</v>
      </c>
      <c r="W322" s="115">
        <v>830</v>
      </c>
      <c r="X322" s="115">
        <f t="shared" si="89"/>
        <v>700520</v>
      </c>
      <c r="Y322" s="259" t="s">
        <v>4406</v>
      </c>
      <c r="Z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4399</v>
      </c>
      <c r="S323" s="97"/>
      <c r="U323" s="19" t="s">
        <v>5318</v>
      </c>
      <c r="V323" s="19">
        <v>8662</v>
      </c>
      <c r="W323" s="115">
        <v>832.57011999999997</v>
      </c>
      <c r="X323" s="115">
        <f t="shared" si="89"/>
        <v>7211722.3794399993</v>
      </c>
      <c r="Y323" s="259" t="s">
        <v>5097</v>
      </c>
      <c r="AA323" t="s">
        <v>25</v>
      </c>
      <c r="AI323" s="119">
        <v>32</v>
      </c>
      <c r="AJ323" s="119" t="s">
        <v>4619</v>
      </c>
      <c r="AK323" s="77">
        <v>288936</v>
      </c>
      <c r="AL323" s="119">
        <v>3</v>
      </c>
      <c r="AM323" s="119">
        <f t="shared" si="93"/>
        <v>783</v>
      </c>
      <c r="AN323" s="119">
        <f t="shared" si="94"/>
        <v>226236888</v>
      </c>
      <c r="AO323" s="200" t="s">
        <v>4630</v>
      </c>
    </row>
    <row r="324" spans="8:45" ht="30">
      <c r="H324" s="9" t="s">
        <v>5507</v>
      </c>
      <c r="R324" s="97" t="s">
        <v>4443</v>
      </c>
      <c r="S324" s="93">
        <v>63115000</v>
      </c>
      <c r="U324" s="19" t="s">
        <v>5319</v>
      </c>
      <c r="V324" s="19">
        <v>10253</v>
      </c>
      <c r="W324" s="115">
        <v>827.2568</v>
      </c>
      <c r="X324" s="115">
        <f t="shared" si="89"/>
        <v>8481863.9704</v>
      </c>
      <c r="Y324" s="259" t="s">
        <v>5322</v>
      </c>
      <c r="AB324" t="s">
        <v>25</v>
      </c>
      <c r="AI324" s="119">
        <v>33</v>
      </c>
      <c r="AJ324" s="119" t="s">
        <v>4628</v>
      </c>
      <c r="AK324" s="77">
        <v>17962491</v>
      </c>
      <c r="AL324" s="119">
        <v>1</v>
      </c>
      <c r="AM324" s="119">
        <f t="shared" si="93"/>
        <v>780</v>
      </c>
      <c r="AN324" s="119">
        <f t="shared" si="94"/>
        <v>14010742980</v>
      </c>
      <c r="AO324" s="119" t="s">
        <v>4635</v>
      </c>
    </row>
    <row r="325" spans="8:45">
      <c r="H325" s="9" t="s">
        <v>5508</v>
      </c>
      <c r="R325" s="97" t="s">
        <v>4451</v>
      </c>
      <c r="S325" s="93">
        <v>13300000</v>
      </c>
      <c r="U325" s="229" t="s">
        <v>5323</v>
      </c>
      <c r="V325" s="229">
        <v>-33077</v>
      </c>
      <c r="W325" s="230">
        <v>786.02973999999995</v>
      </c>
      <c r="X325" s="230">
        <f t="shared" si="89"/>
        <v>-25999505.70998</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4549</v>
      </c>
      <c r="S326" s="93">
        <v>2269000</v>
      </c>
      <c r="U326" s="19" t="s">
        <v>5323</v>
      </c>
      <c r="V326" s="19">
        <v>-33077</v>
      </c>
      <c r="W326" s="115">
        <v>786.02973999999995</v>
      </c>
      <c r="X326" s="115">
        <f t="shared" si="89"/>
        <v>-25999505.70998</v>
      </c>
      <c r="Y326" s="259" t="s">
        <v>5326</v>
      </c>
      <c r="Z326" t="s">
        <v>25</v>
      </c>
      <c r="AI326" s="119">
        <v>35</v>
      </c>
      <c r="AJ326" s="119" t="s">
        <v>4640</v>
      </c>
      <c r="AK326" s="77">
        <v>23622417</v>
      </c>
      <c r="AL326" s="119">
        <v>5</v>
      </c>
      <c r="AM326" s="119">
        <f t="shared" si="93"/>
        <v>778</v>
      </c>
      <c r="AN326" s="119">
        <f t="shared" si="94"/>
        <v>18378240426</v>
      </c>
      <c r="AO326" s="119" t="s">
        <v>4642</v>
      </c>
    </row>
    <row r="327" spans="8:45">
      <c r="H327" s="279"/>
      <c r="R327" s="97" t="s">
        <v>4558</v>
      </c>
      <c r="S327" s="93">
        <v>25071612</v>
      </c>
      <c r="U327" s="19" t="s">
        <v>5323</v>
      </c>
      <c r="V327" s="19">
        <v>1983</v>
      </c>
      <c r="W327" s="115">
        <v>786.02973999999995</v>
      </c>
      <c r="X327" s="115">
        <f t="shared" si="89"/>
        <v>1558696.9744199999</v>
      </c>
      <c r="Y327" s="259" t="s">
        <v>5097</v>
      </c>
      <c r="AI327" s="119">
        <v>36</v>
      </c>
      <c r="AJ327" s="119" t="s">
        <v>4653</v>
      </c>
      <c r="AK327" s="77">
        <v>82496108</v>
      </c>
      <c r="AL327" s="119">
        <v>1</v>
      </c>
      <c r="AM327" s="119">
        <f t="shared" si="93"/>
        <v>773</v>
      </c>
      <c r="AN327" s="119">
        <f t="shared" si="94"/>
        <v>63769491484</v>
      </c>
      <c r="AO327" s="119" t="s">
        <v>4656</v>
      </c>
    </row>
    <row r="328" spans="8:45">
      <c r="R328" s="97" t="s">
        <v>4559</v>
      </c>
      <c r="S328" s="93">
        <v>42236984</v>
      </c>
      <c r="U328" s="229" t="s">
        <v>5327</v>
      </c>
      <c r="V328" s="229">
        <v>-119753</v>
      </c>
      <c r="W328" s="230">
        <v>800.81560000000002</v>
      </c>
      <c r="X328" s="230">
        <f t="shared" si="89"/>
        <v>-95900070.546800002</v>
      </c>
      <c r="Y328" s="267" t="s">
        <v>5325</v>
      </c>
      <c r="AI328" s="119">
        <v>37</v>
      </c>
      <c r="AJ328" s="119" t="s">
        <v>4655</v>
      </c>
      <c r="AK328" s="77">
        <v>74657561</v>
      </c>
      <c r="AL328" s="119">
        <v>16</v>
      </c>
      <c r="AM328" s="119">
        <f t="shared" si="93"/>
        <v>772</v>
      </c>
      <c r="AN328" s="119">
        <f t="shared" si="94"/>
        <v>57635637092</v>
      </c>
      <c r="AO328" s="119" t="s">
        <v>4661</v>
      </c>
    </row>
    <row r="329" spans="8:45">
      <c r="R329" s="97" t="s">
        <v>4580</v>
      </c>
      <c r="S329" s="93">
        <v>19663646</v>
      </c>
      <c r="U329" s="19" t="s">
        <v>5327</v>
      </c>
      <c r="V329" s="19">
        <v>-119753</v>
      </c>
      <c r="W329" s="115">
        <v>800.81560000000002</v>
      </c>
      <c r="X329" s="115">
        <f t="shared" si="89"/>
        <v>-95900070.546800002</v>
      </c>
      <c r="Y329" s="259" t="s">
        <v>5326</v>
      </c>
      <c r="AI329" s="97">
        <v>38</v>
      </c>
      <c r="AJ329" s="97" t="s">
        <v>4724</v>
      </c>
      <c r="AK329" s="115">
        <v>665000</v>
      </c>
      <c r="AL329" s="97">
        <v>0</v>
      </c>
      <c r="AM329" s="97">
        <f t="shared" si="93"/>
        <v>756</v>
      </c>
      <c r="AN329" s="20">
        <f t="shared" si="94"/>
        <v>502740000</v>
      </c>
      <c r="AO329" s="97"/>
    </row>
    <row r="330" spans="8:45">
      <c r="R330" s="97" t="s">
        <v>4591</v>
      </c>
      <c r="S330" s="93">
        <v>4374525</v>
      </c>
      <c r="T330" s="112"/>
      <c r="U330" s="19" t="s">
        <v>5327</v>
      </c>
      <c r="V330" s="19">
        <v>11291</v>
      </c>
      <c r="W330" s="115">
        <v>800.81560000000002</v>
      </c>
      <c r="X330" s="115">
        <f t="shared" si="89"/>
        <v>9042008.9396000002</v>
      </c>
      <c r="Y330" s="259" t="s">
        <v>452</v>
      </c>
      <c r="AB330" t="s">
        <v>25</v>
      </c>
      <c r="AI330" s="147">
        <v>39</v>
      </c>
      <c r="AJ330" s="147" t="s">
        <v>4724</v>
      </c>
      <c r="AK330" s="186">
        <v>665000</v>
      </c>
      <c r="AL330" s="147">
        <v>4</v>
      </c>
      <c r="AM330" s="191">
        <f t="shared" si="93"/>
        <v>756</v>
      </c>
      <c r="AN330" s="191">
        <f t="shared" si="94"/>
        <v>502740000</v>
      </c>
      <c r="AO330" s="191"/>
    </row>
    <row r="331" spans="8:45">
      <c r="R331" s="97" t="s">
        <v>4593</v>
      </c>
      <c r="S331" s="93">
        <v>6550580</v>
      </c>
      <c r="U331" s="187" t="s">
        <v>5328</v>
      </c>
      <c r="V331" s="187">
        <v>-35361</v>
      </c>
      <c r="W331" s="186">
        <v>818.697</v>
      </c>
      <c r="X331" s="186">
        <f t="shared" si="89"/>
        <v>-28949944.616999999</v>
      </c>
      <c r="Y331" s="258" t="s">
        <v>5325</v>
      </c>
      <c r="Z331" t="s">
        <v>25</v>
      </c>
      <c r="AI331" s="20">
        <v>40</v>
      </c>
      <c r="AJ331" s="20" t="s">
        <v>4733</v>
      </c>
      <c r="AK331" s="115">
        <v>2000000</v>
      </c>
      <c r="AL331" s="20">
        <v>1</v>
      </c>
      <c r="AM331" s="97">
        <f t="shared" si="93"/>
        <v>752</v>
      </c>
      <c r="AN331" s="20">
        <f t="shared" si="94"/>
        <v>1504000000</v>
      </c>
      <c r="AO331" s="97"/>
    </row>
    <row r="332" spans="8:45">
      <c r="R332" s="97" t="s">
        <v>4606</v>
      </c>
      <c r="S332" s="93">
        <v>7054895</v>
      </c>
      <c r="U332" s="19" t="s">
        <v>5328</v>
      </c>
      <c r="V332" s="19">
        <v>-35361</v>
      </c>
      <c r="W332" s="115">
        <v>818.697</v>
      </c>
      <c r="X332" s="115">
        <f t="shared" si="89"/>
        <v>-28949944.616999999</v>
      </c>
      <c r="Y332" s="259" t="s">
        <v>5326</v>
      </c>
      <c r="Z332" t="s">
        <v>25</v>
      </c>
      <c r="AA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4617</v>
      </c>
      <c r="S333" s="93">
        <v>2145814</v>
      </c>
      <c r="U333" s="19" t="s">
        <v>5328</v>
      </c>
      <c r="V333" s="19">
        <v>116</v>
      </c>
      <c r="W333" s="115">
        <v>818.697</v>
      </c>
      <c r="X333" s="115">
        <f t="shared" si="89"/>
        <v>94968.851999999999</v>
      </c>
      <c r="Y333" s="259" t="s">
        <v>5097</v>
      </c>
      <c r="AI333" s="147">
        <v>42</v>
      </c>
      <c r="AJ333" s="147" t="s">
        <v>4738</v>
      </c>
      <c r="AK333" s="186">
        <v>-433375</v>
      </c>
      <c r="AL333" s="147">
        <v>0</v>
      </c>
      <c r="AM333" s="147">
        <f t="shared" si="93"/>
        <v>751</v>
      </c>
      <c r="AN333" s="147">
        <f t="shared" si="95"/>
        <v>-325464625</v>
      </c>
      <c r="AO333" s="147" t="s">
        <v>4740</v>
      </c>
    </row>
    <row r="334" spans="8:45">
      <c r="R334" s="97" t="s">
        <v>4619</v>
      </c>
      <c r="S334" s="93">
        <v>4369730</v>
      </c>
      <c r="U334" s="19" t="s">
        <v>5332</v>
      </c>
      <c r="V334" s="19">
        <v>48633</v>
      </c>
      <c r="W334" s="115">
        <v>822.47199999999998</v>
      </c>
      <c r="X334" s="115">
        <f t="shared" si="89"/>
        <v>39999280.776000001</v>
      </c>
      <c r="Y334" s="259" t="s">
        <v>5335</v>
      </c>
      <c r="AB334" t="s">
        <v>25</v>
      </c>
      <c r="AI334" s="20">
        <v>43</v>
      </c>
      <c r="AJ334" s="20" t="s">
        <v>4738</v>
      </c>
      <c r="AK334" s="115">
        <v>28000000</v>
      </c>
      <c r="AL334" s="20">
        <v>1</v>
      </c>
      <c r="AM334" s="97">
        <f t="shared" si="93"/>
        <v>751</v>
      </c>
      <c r="AN334" s="20">
        <f t="shared" si="95"/>
        <v>21028000000</v>
      </c>
      <c r="AO334" s="97" t="s">
        <v>3873</v>
      </c>
    </row>
    <row r="335" spans="8:45">
      <c r="R335" s="97" t="s">
        <v>4628</v>
      </c>
      <c r="S335" s="93">
        <v>8739459</v>
      </c>
      <c r="U335" s="19" t="s">
        <v>5332</v>
      </c>
      <c r="V335" s="19">
        <v>3412</v>
      </c>
      <c r="W335" s="115">
        <v>822.47199999999998</v>
      </c>
      <c r="X335" s="115">
        <f t="shared" si="89"/>
        <v>2806274.4640000002</v>
      </c>
      <c r="Y335" s="259" t="s">
        <v>5337</v>
      </c>
      <c r="AI335" s="20">
        <v>44</v>
      </c>
      <c r="AJ335" s="20" t="s">
        <v>4747</v>
      </c>
      <c r="AK335" s="115">
        <v>160000</v>
      </c>
      <c r="AL335" s="20">
        <v>0</v>
      </c>
      <c r="AM335" s="97">
        <f t="shared" si="93"/>
        <v>750</v>
      </c>
      <c r="AN335" s="20">
        <f t="shared" si="95"/>
        <v>120000000</v>
      </c>
      <c r="AO335" s="97"/>
    </row>
    <row r="336" spans="8:45">
      <c r="R336" s="97" t="s">
        <v>3666</v>
      </c>
      <c r="S336" s="93">
        <v>6667654</v>
      </c>
      <c r="U336" s="19" t="s">
        <v>5333</v>
      </c>
      <c r="V336" s="19">
        <v>1531</v>
      </c>
      <c r="W336" s="115">
        <v>869.82500000000005</v>
      </c>
      <c r="X336" s="115">
        <f t="shared" si="89"/>
        <v>1331702.075</v>
      </c>
      <c r="Y336" s="259" t="s">
        <v>5338</v>
      </c>
      <c r="AI336" s="147">
        <v>45</v>
      </c>
      <c r="AJ336" s="147" t="s">
        <v>4747</v>
      </c>
      <c r="AK336" s="186">
        <v>70000</v>
      </c>
      <c r="AL336" s="147">
        <v>9</v>
      </c>
      <c r="AM336" s="147">
        <f t="shared" si="93"/>
        <v>750</v>
      </c>
      <c r="AN336" s="147">
        <f t="shared" si="95"/>
        <v>52500000</v>
      </c>
      <c r="AO336" s="147"/>
      <c r="AS336" t="s">
        <v>25</v>
      </c>
    </row>
    <row r="337" spans="18:47">
      <c r="R337" s="97" t="s">
        <v>4640</v>
      </c>
      <c r="S337" s="93">
        <v>8981245</v>
      </c>
      <c r="U337" s="19" t="s">
        <v>5341</v>
      </c>
      <c r="V337" s="19">
        <v>1019</v>
      </c>
      <c r="W337" s="115">
        <v>835.36580000000004</v>
      </c>
      <c r="X337" s="115">
        <f t="shared" si="89"/>
        <v>851237.75020000001</v>
      </c>
      <c r="Y337" s="259" t="s">
        <v>452</v>
      </c>
      <c r="AI337" s="20">
        <v>46</v>
      </c>
      <c r="AJ337" s="20" t="s">
        <v>4753</v>
      </c>
      <c r="AK337" s="115">
        <v>850000</v>
      </c>
      <c r="AL337" s="20">
        <v>0</v>
      </c>
      <c r="AM337" s="97">
        <f t="shared" si="93"/>
        <v>741</v>
      </c>
      <c r="AN337" s="20">
        <f t="shared" si="95"/>
        <v>629850000</v>
      </c>
      <c r="AO337" s="97"/>
      <c r="AT337" t="s">
        <v>25</v>
      </c>
    </row>
    <row r="338" spans="18:47">
      <c r="R338" s="97" t="s">
        <v>4643</v>
      </c>
      <c r="S338" s="93">
        <v>9181756</v>
      </c>
      <c r="U338" s="187" t="s">
        <v>5347</v>
      </c>
      <c r="V338" s="187">
        <v>2316</v>
      </c>
      <c r="W338" s="186">
        <v>818.697</v>
      </c>
      <c r="X338" s="186">
        <f t="shared" si="89"/>
        <v>1896102.2520000001</v>
      </c>
      <c r="Y338" s="258" t="s">
        <v>5350</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4655</v>
      </c>
      <c r="S339" s="93">
        <v>11811208</v>
      </c>
      <c r="U339" s="19" t="s">
        <v>5353</v>
      </c>
      <c r="V339" s="19">
        <v>315</v>
      </c>
      <c r="W339" s="115">
        <v>680</v>
      </c>
      <c r="X339" s="115">
        <f t="shared" si="89"/>
        <v>214200</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4662</v>
      </c>
      <c r="S340" s="93">
        <v>41248054</v>
      </c>
      <c r="U340" s="19" t="s">
        <v>5375</v>
      </c>
      <c r="V340" s="19">
        <v>832</v>
      </c>
      <c r="W340" s="115">
        <v>784.36500000000001</v>
      </c>
      <c r="X340" s="115">
        <f t="shared" si="89"/>
        <v>652591.68000000005</v>
      </c>
      <c r="Y340" s="259" t="s">
        <v>5097</v>
      </c>
      <c r="Z340" t="s">
        <v>25</v>
      </c>
      <c r="AI340" s="20">
        <v>49</v>
      </c>
      <c r="AJ340" s="20" t="s">
        <v>4834</v>
      </c>
      <c r="AK340" s="115">
        <v>1100000</v>
      </c>
      <c r="AL340" s="20">
        <v>1</v>
      </c>
      <c r="AM340" s="20">
        <f t="shared" si="96"/>
        <v>710</v>
      </c>
      <c r="AN340" s="20">
        <f t="shared" si="97"/>
        <v>781000000</v>
      </c>
      <c r="AO340" s="20"/>
    </row>
    <row r="341" spans="18:47">
      <c r="R341" s="97" t="s">
        <v>4668</v>
      </c>
      <c r="S341" s="93">
        <v>37328780</v>
      </c>
      <c r="U341" s="19" t="s">
        <v>5418</v>
      </c>
      <c r="V341" s="19">
        <v>382</v>
      </c>
      <c r="W341" s="115">
        <v>1450.6065000000001</v>
      </c>
      <c r="X341" s="115">
        <f t="shared" si="89"/>
        <v>554131.68300000008</v>
      </c>
      <c r="Y341" s="259" t="s">
        <v>5097</v>
      </c>
      <c r="Z341" t="s">
        <v>25</v>
      </c>
      <c r="AI341" s="20">
        <v>50</v>
      </c>
      <c r="AJ341" s="20" t="s">
        <v>4835</v>
      </c>
      <c r="AK341" s="115">
        <v>450000</v>
      </c>
      <c r="AL341" s="20">
        <v>0</v>
      </c>
      <c r="AM341" s="20">
        <f t="shared" si="96"/>
        <v>709</v>
      </c>
      <c r="AN341" s="20">
        <f t="shared" si="97"/>
        <v>319050000</v>
      </c>
      <c r="AO341" s="20"/>
    </row>
    <row r="342" spans="18:47">
      <c r="R342" s="97" t="s">
        <v>4724</v>
      </c>
      <c r="S342" s="93">
        <v>50000000</v>
      </c>
      <c r="U342" s="19" t="s">
        <v>5419</v>
      </c>
      <c r="V342" s="19">
        <v>50047</v>
      </c>
      <c r="W342" s="115">
        <v>1406.14</v>
      </c>
      <c r="X342" s="115">
        <f t="shared" si="89"/>
        <v>70373088.579999998</v>
      </c>
      <c r="Y342" s="259" t="s">
        <v>5097</v>
      </c>
      <c r="AA342" t="s">
        <v>25</v>
      </c>
      <c r="AI342" s="147">
        <v>51</v>
      </c>
      <c r="AJ342" s="147" t="s">
        <v>4835</v>
      </c>
      <c r="AK342" s="186">
        <v>550000</v>
      </c>
      <c r="AL342" s="147">
        <v>1</v>
      </c>
      <c r="AM342" s="147">
        <f t="shared" si="96"/>
        <v>709</v>
      </c>
      <c r="AN342" s="147">
        <f t="shared" si="97"/>
        <v>389950000</v>
      </c>
      <c r="AO342" s="147"/>
    </row>
    <row r="343" spans="18:47">
      <c r="R343" s="97" t="s">
        <v>4733</v>
      </c>
      <c r="S343" s="93">
        <v>68656</v>
      </c>
      <c r="U343" s="19" t="s">
        <v>5420</v>
      </c>
      <c r="V343" s="19">
        <v>846</v>
      </c>
      <c r="W343" s="115">
        <v>1441.6724569999999</v>
      </c>
      <c r="X343" s="115">
        <f t="shared" si="89"/>
        <v>1219654.8986219999</v>
      </c>
      <c r="Y343" s="259" t="s">
        <v>5097</v>
      </c>
      <c r="Z343" t="s">
        <v>25</v>
      </c>
      <c r="AA343" t="s">
        <v>25</v>
      </c>
      <c r="AI343" s="147">
        <v>52</v>
      </c>
      <c r="AJ343" s="147" t="s">
        <v>4837</v>
      </c>
      <c r="AK343" s="186">
        <v>1000000</v>
      </c>
      <c r="AL343" s="147">
        <v>8</v>
      </c>
      <c r="AM343" s="147">
        <f t="shared" si="96"/>
        <v>708</v>
      </c>
      <c r="AN343" s="147">
        <f t="shared" si="97"/>
        <v>708000000</v>
      </c>
      <c r="AO343" s="147"/>
    </row>
    <row r="344" spans="18:47">
      <c r="R344" s="97" t="s">
        <v>4733</v>
      </c>
      <c r="S344" s="93">
        <v>4000236</v>
      </c>
      <c r="U344" s="19" t="s">
        <v>5421</v>
      </c>
      <c r="V344" s="19">
        <v>10573</v>
      </c>
      <c r="W344" s="115">
        <v>1451.825</v>
      </c>
      <c r="X344" s="115">
        <f t="shared" si="89"/>
        <v>15350145.725</v>
      </c>
      <c r="Y344" s="259" t="s">
        <v>5097</v>
      </c>
      <c r="Z344" t="s">
        <v>25</v>
      </c>
      <c r="AI344" s="20">
        <v>53</v>
      </c>
      <c r="AJ344" s="20" t="s">
        <v>4846</v>
      </c>
      <c r="AK344" s="115">
        <v>-2668880</v>
      </c>
      <c r="AL344" s="20">
        <v>0</v>
      </c>
      <c r="AM344" s="20">
        <f t="shared" si="96"/>
        <v>700</v>
      </c>
      <c r="AN344" s="20">
        <f t="shared" si="97"/>
        <v>-1868216000</v>
      </c>
      <c r="AO344" s="20" t="s">
        <v>4848</v>
      </c>
    </row>
    <row r="345" spans="18:47" ht="30">
      <c r="R345" s="97" t="s">
        <v>4738</v>
      </c>
      <c r="S345" s="93">
        <v>2250000</v>
      </c>
      <c r="U345" s="19" t="s">
        <v>5422</v>
      </c>
      <c r="V345" s="19">
        <v>85</v>
      </c>
      <c r="W345" s="115">
        <v>1423.74</v>
      </c>
      <c r="X345" s="115">
        <f t="shared" si="89"/>
        <v>121017.9</v>
      </c>
      <c r="Y345" s="259" t="s">
        <v>5423</v>
      </c>
      <c r="Z345" t="s">
        <v>25</v>
      </c>
      <c r="AI345" s="147">
        <v>54</v>
      </c>
      <c r="AJ345" s="147" t="s">
        <v>4846</v>
      </c>
      <c r="AK345" s="186">
        <v>-1528620</v>
      </c>
      <c r="AL345" s="147">
        <v>0</v>
      </c>
      <c r="AM345" s="147">
        <f t="shared" si="96"/>
        <v>700</v>
      </c>
      <c r="AN345" s="147">
        <f t="shared" si="97"/>
        <v>-1070034000</v>
      </c>
      <c r="AO345" s="147" t="s">
        <v>4848</v>
      </c>
    </row>
    <row r="346" spans="18:47" ht="30">
      <c r="R346" s="97" t="s">
        <v>4747</v>
      </c>
      <c r="S346" s="93">
        <v>-2512200</v>
      </c>
      <c r="U346" s="19" t="s">
        <v>5426</v>
      </c>
      <c r="V346" s="19">
        <v>738</v>
      </c>
      <c r="W346" s="115">
        <v>1388.87895</v>
      </c>
      <c r="X346" s="115">
        <f t="shared" si="89"/>
        <v>1024992.6651</v>
      </c>
      <c r="Y346" s="259" t="s">
        <v>5430</v>
      </c>
      <c r="Z346" t="s">
        <v>25</v>
      </c>
      <c r="AI346" s="20">
        <v>55</v>
      </c>
      <c r="AJ346" s="20" t="s">
        <v>4846</v>
      </c>
      <c r="AK346" s="115">
        <v>50000000</v>
      </c>
      <c r="AL346" s="20">
        <v>4</v>
      </c>
      <c r="AM346" s="20">
        <f t="shared" si="96"/>
        <v>700</v>
      </c>
      <c r="AN346" s="20">
        <f t="shared" si="97"/>
        <v>35000000000</v>
      </c>
      <c r="AO346" s="20"/>
    </row>
    <row r="347" spans="18:47">
      <c r="R347" s="97" t="s">
        <v>964</v>
      </c>
      <c r="S347" s="93">
        <v>300000</v>
      </c>
      <c r="U347" s="19" t="s">
        <v>5438</v>
      </c>
      <c r="V347" s="19">
        <v>1442</v>
      </c>
      <c r="W347" s="115">
        <v>1350.9547279999999</v>
      </c>
      <c r="X347" s="115">
        <f t="shared" si="89"/>
        <v>1948076.7177759998</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4753</v>
      </c>
      <c r="S348" s="93">
        <v>1100000</v>
      </c>
      <c r="U348" s="19" t="s">
        <v>5439</v>
      </c>
      <c r="V348" s="19">
        <v>36847</v>
      </c>
      <c r="W348" s="115">
        <v>1356.9658300000001</v>
      </c>
      <c r="X348" s="115">
        <f t="shared" si="89"/>
        <v>50000119.938010007</v>
      </c>
      <c r="Y348" s="259" t="s">
        <v>5102</v>
      </c>
      <c r="AI348" s="20">
        <v>57</v>
      </c>
      <c r="AJ348" s="20" t="s">
        <v>4861</v>
      </c>
      <c r="AK348" s="115">
        <v>2000000</v>
      </c>
      <c r="AL348" s="20">
        <v>3</v>
      </c>
      <c r="AM348" s="20">
        <f t="shared" si="98"/>
        <v>692</v>
      </c>
      <c r="AN348" s="20">
        <f t="shared" si="99"/>
        <v>1384000000</v>
      </c>
      <c r="AO348" s="20"/>
    </row>
    <row r="349" spans="18:47" ht="30">
      <c r="R349" s="97" t="s">
        <v>4773</v>
      </c>
      <c r="S349" s="93">
        <v>890000</v>
      </c>
      <c r="U349" s="19" t="s">
        <v>5440</v>
      </c>
      <c r="V349" s="19">
        <v>13738</v>
      </c>
      <c r="W349" s="115">
        <v>1455.82</v>
      </c>
      <c r="X349" s="115">
        <f t="shared" si="89"/>
        <v>20000055.16</v>
      </c>
      <c r="Y349" s="259" t="s">
        <v>5456</v>
      </c>
      <c r="Z349" t="s">
        <v>25</v>
      </c>
      <c r="AB349" t="s">
        <v>25</v>
      </c>
      <c r="AI349" s="20">
        <v>58</v>
      </c>
      <c r="AJ349" s="20" t="s">
        <v>4864</v>
      </c>
      <c r="AK349" s="115">
        <v>100000</v>
      </c>
      <c r="AL349" s="20">
        <v>4</v>
      </c>
      <c r="AM349" s="20">
        <f t="shared" si="98"/>
        <v>689</v>
      </c>
      <c r="AN349" s="20">
        <f t="shared" si="99"/>
        <v>68900000</v>
      </c>
      <c r="AO349" s="20" t="s">
        <v>3873</v>
      </c>
    </row>
    <row r="350" spans="18:47">
      <c r="R350" s="97" t="s">
        <v>4774</v>
      </c>
      <c r="S350" s="93">
        <v>1000000</v>
      </c>
      <c r="U350" s="19" t="s">
        <v>5463</v>
      </c>
      <c r="V350" s="19">
        <v>3100</v>
      </c>
      <c r="W350" s="115">
        <v>1853.4507470000001</v>
      </c>
      <c r="X350" s="115">
        <f t="shared" si="89"/>
        <v>5745697.3157000002</v>
      </c>
      <c r="Y350" s="259" t="s">
        <v>5097</v>
      </c>
      <c r="Z350" t="s">
        <v>25</v>
      </c>
      <c r="AI350" s="20">
        <v>59</v>
      </c>
      <c r="AJ350" s="20" t="s">
        <v>4871</v>
      </c>
      <c r="AK350" s="115">
        <v>100000</v>
      </c>
      <c r="AL350" s="20">
        <v>7</v>
      </c>
      <c r="AM350" s="20">
        <f t="shared" si="98"/>
        <v>685</v>
      </c>
      <c r="AN350" s="20">
        <f t="shared" si="99"/>
        <v>68500000</v>
      </c>
      <c r="AO350" s="20"/>
    </row>
    <row r="351" spans="18:47">
      <c r="R351" s="97" t="s">
        <v>4774</v>
      </c>
      <c r="S351" s="93">
        <v>45436311</v>
      </c>
      <c r="U351" s="19" t="s">
        <v>5464</v>
      </c>
      <c r="V351" s="19">
        <v>480</v>
      </c>
      <c r="W351" s="115">
        <v>1891.9962069999999</v>
      </c>
      <c r="X351" s="115">
        <f t="shared" si="89"/>
        <v>908158.17935999995</v>
      </c>
      <c r="Y351" s="259" t="s">
        <v>5097</v>
      </c>
      <c r="Z351" t="s">
        <v>25</v>
      </c>
      <c r="AI351" s="20">
        <v>60</v>
      </c>
      <c r="AJ351" s="20" t="s">
        <v>4884</v>
      </c>
      <c r="AK351" s="115">
        <v>50000</v>
      </c>
      <c r="AL351" s="20">
        <v>0</v>
      </c>
      <c r="AM351" s="20">
        <f t="shared" si="98"/>
        <v>678</v>
      </c>
      <c r="AN351" s="20">
        <f t="shared" si="99"/>
        <v>33900000</v>
      </c>
      <c r="AO351" s="20"/>
    </row>
    <row r="352" spans="18:47">
      <c r="R352" s="97" t="s">
        <v>4786</v>
      </c>
      <c r="S352" s="93">
        <v>-3500000</v>
      </c>
      <c r="U352" s="19" t="s">
        <v>5465</v>
      </c>
      <c r="V352" s="19">
        <v>6522</v>
      </c>
      <c r="W352" s="115">
        <v>1938.4694340000001</v>
      </c>
      <c r="X352" s="115">
        <f t="shared" si="89"/>
        <v>12642697.648548001</v>
      </c>
      <c r="Y352" s="259" t="s">
        <v>5097</v>
      </c>
      <c r="AI352" s="147">
        <v>61</v>
      </c>
      <c r="AJ352" s="147" t="s">
        <v>4884</v>
      </c>
      <c r="AK352" s="186">
        <v>50000</v>
      </c>
      <c r="AL352" s="147">
        <v>3</v>
      </c>
      <c r="AM352" s="147">
        <f t="shared" si="98"/>
        <v>678</v>
      </c>
      <c r="AN352" s="147">
        <f t="shared" si="99"/>
        <v>33900000</v>
      </c>
      <c r="AO352" s="147"/>
    </row>
    <row r="353" spans="18:46">
      <c r="R353" s="97" t="s">
        <v>4821</v>
      </c>
      <c r="S353" s="93">
        <v>2520000</v>
      </c>
      <c r="U353" s="19" t="s">
        <v>5466</v>
      </c>
      <c r="V353" s="19">
        <v>6197</v>
      </c>
      <c r="W353" s="115">
        <v>1984.3985499999999</v>
      </c>
      <c r="X353" s="115">
        <f t="shared" si="89"/>
        <v>12297317.81435</v>
      </c>
      <c r="Y353" s="259" t="s">
        <v>5097</v>
      </c>
      <c r="AB353" t="s">
        <v>25</v>
      </c>
      <c r="AI353" s="20">
        <v>62</v>
      </c>
      <c r="AJ353" s="20" t="s">
        <v>4887</v>
      </c>
      <c r="AK353" s="115">
        <v>50000</v>
      </c>
      <c r="AL353" s="20">
        <v>0</v>
      </c>
      <c r="AM353" s="20">
        <f t="shared" si="98"/>
        <v>675</v>
      </c>
      <c r="AN353" s="20">
        <f t="shared" si="99"/>
        <v>33750000</v>
      </c>
      <c r="AO353" s="20"/>
    </row>
    <row r="354" spans="18:46">
      <c r="R354" s="97" t="s">
        <v>4834</v>
      </c>
      <c r="S354" s="93">
        <v>4900000</v>
      </c>
      <c r="U354" s="19" t="s">
        <v>5467</v>
      </c>
      <c r="V354" s="19">
        <v>4646</v>
      </c>
      <c r="W354" s="115">
        <v>1928.464023</v>
      </c>
      <c r="X354" s="115">
        <f t="shared" si="89"/>
        <v>8959643.8508579992</v>
      </c>
      <c r="Y354" s="259" t="s">
        <v>5097</v>
      </c>
      <c r="AA354" t="s">
        <v>25</v>
      </c>
      <c r="AB354" t="s">
        <v>25</v>
      </c>
      <c r="AI354" s="191">
        <v>63</v>
      </c>
      <c r="AJ354" s="191" t="s">
        <v>4887</v>
      </c>
      <c r="AK354" s="192">
        <v>50000</v>
      </c>
      <c r="AL354" s="191">
        <v>2</v>
      </c>
      <c r="AM354" s="191">
        <f t="shared" si="98"/>
        <v>675</v>
      </c>
      <c r="AN354" s="191">
        <f t="shared" si="99"/>
        <v>33750000</v>
      </c>
      <c r="AO354" s="191"/>
    </row>
    <row r="355" spans="18:46">
      <c r="R355" s="97" t="s">
        <v>4793</v>
      </c>
      <c r="S355" s="93">
        <v>1150000</v>
      </c>
      <c r="U355" s="19" t="s">
        <v>5468</v>
      </c>
      <c r="V355" s="19">
        <v>7668</v>
      </c>
      <c r="W355" s="115">
        <v>1976.2774959999999</v>
      </c>
      <c r="X355" s="115">
        <f t="shared" si="89"/>
        <v>15154095.839328</v>
      </c>
      <c r="Y355" s="259" t="s">
        <v>5097</v>
      </c>
      <c r="AI355" s="20">
        <v>64</v>
      </c>
      <c r="AJ355" s="20" t="s">
        <v>4894</v>
      </c>
      <c r="AK355" s="115">
        <v>25000</v>
      </c>
      <c r="AL355" s="20">
        <v>0</v>
      </c>
      <c r="AM355" s="20">
        <f t="shared" si="98"/>
        <v>673</v>
      </c>
      <c r="AN355" s="20">
        <f t="shared" si="99"/>
        <v>16825000</v>
      </c>
      <c r="AO355" s="20"/>
    </row>
    <row r="356" spans="18:46" ht="30">
      <c r="R356" s="97" t="s">
        <v>4868</v>
      </c>
      <c r="S356" s="93">
        <v>250000</v>
      </c>
      <c r="U356" s="19" t="s">
        <v>5475</v>
      </c>
      <c r="V356" s="19">
        <v>-43325</v>
      </c>
      <c r="W356" s="115">
        <v>2146.5548840000001</v>
      </c>
      <c r="X356" s="115">
        <f t="shared" si="89"/>
        <v>-92999490.349300012</v>
      </c>
      <c r="Y356" s="259" t="s">
        <v>5476</v>
      </c>
      <c r="Z356" t="s">
        <v>25</v>
      </c>
      <c r="AI356" s="147">
        <v>65</v>
      </c>
      <c r="AJ356" s="147" t="s">
        <v>4894</v>
      </c>
      <c r="AK356" s="186">
        <v>35000</v>
      </c>
      <c r="AL356" s="147">
        <v>7</v>
      </c>
      <c r="AM356" s="147">
        <f t="shared" si="98"/>
        <v>673</v>
      </c>
      <c r="AN356" s="147">
        <f t="shared" si="99"/>
        <v>23555000</v>
      </c>
      <c r="AO356" s="147"/>
    </row>
    <row r="357" spans="18:46">
      <c r="R357" s="97" t="s">
        <v>4871</v>
      </c>
      <c r="S357" s="93">
        <v>1403460</v>
      </c>
      <c r="T357" s="112"/>
      <c r="U357" s="19" t="s">
        <v>5483</v>
      </c>
      <c r="V357" s="19">
        <v>20888</v>
      </c>
      <c r="W357" s="115">
        <v>2428.4521530000002</v>
      </c>
      <c r="X357" s="115">
        <f t="shared" si="89"/>
        <v>50725508.571864001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4876</v>
      </c>
      <c r="S358" s="93">
        <v>200000</v>
      </c>
      <c r="U358" s="19" t="s">
        <v>5484</v>
      </c>
      <c r="V358" s="19">
        <v>21663</v>
      </c>
      <c r="W358" s="115">
        <v>2308.0067819999999</v>
      </c>
      <c r="X358" s="115">
        <f t="shared" si="89"/>
        <v>49998350.918466002</v>
      </c>
      <c r="Y358" s="259" t="s">
        <v>5487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4881</v>
      </c>
      <c r="S359" s="93">
        <v>345000</v>
      </c>
      <c r="U359" s="19" t="s">
        <v>5484</v>
      </c>
      <c r="V359" s="19">
        <v>977</v>
      </c>
      <c r="W359" s="115">
        <v>2335.6821479999999</v>
      </c>
      <c r="X359" s="115">
        <f t="shared" si="89"/>
        <v>2281961.458596</v>
      </c>
      <c r="Y359" s="259" t="s">
        <v>5097</v>
      </c>
      <c r="AI359" s="20">
        <v>68</v>
      </c>
      <c r="AJ359" s="20" t="s">
        <v>4905</v>
      </c>
      <c r="AK359" s="115">
        <v>500000</v>
      </c>
      <c r="AL359" s="20">
        <v>1</v>
      </c>
      <c r="AM359" s="20">
        <f t="shared" si="100"/>
        <v>665</v>
      </c>
      <c r="AN359" s="20">
        <f t="shared" si="101"/>
        <v>332500000</v>
      </c>
      <c r="AO359" s="20"/>
    </row>
    <row r="360" spans="18:46">
      <c r="R360" s="97" t="s">
        <v>4884</v>
      </c>
      <c r="S360" s="93">
        <v>900000</v>
      </c>
      <c r="U360" s="19" t="s">
        <v>5491</v>
      </c>
      <c r="V360" s="19">
        <v>4155</v>
      </c>
      <c r="W360" s="115">
        <v>2647</v>
      </c>
      <c r="X360" s="115">
        <f t="shared" si="89"/>
        <v>10998285</v>
      </c>
      <c r="Y360" s="259" t="s">
        <v>5097</v>
      </c>
      <c r="AI360" s="20">
        <v>69</v>
      </c>
      <c r="AJ360" s="20" t="s">
        <v>4909</v>
      </c>
      <c r="AK360" s="115">
        <v>850000</v>
      </c>
      <c r="AL360" s="20">
        <v>5</v>
      </c>
      <c r="AM360" s="20">
        <f t="shared" si="100"/>
        <v>664</v>
      </c>
      <c r="AN360" s="20">
        <f t="shared" si="101"/>
        <v>564400000</v>
      </c>
      <c r="AO360" s="20"/>
    </row>
    <row r="361" spans="18:46">
      <c r="R361" s="97" t="s">
        <v>4892</v>
      </c>
      <c r="S361" s="93">
        <v>372517</v>
      </c>
      <c r="U361" s="19" t="s">
        <v>5492</v>
      </c>
      <c r="V361" s="19">
        <v>351</v>
      </c>
      <c r="W361" s="115">
        <v>2800.6238229999999</v>
      </c>
      <c r="X361" s="115">
        <f t="shared" si="89"/>
        <v>983018.96187300002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4925</v>
      </c>
      <c r="S362" s="93">
        <v>6489257</v>
      </c>
      <c r="U362" s="19" t="s">
        <v>5494</v>
      </c>
      <c r="V362" s="19">
        <v>5877</v>
      </c>
      <c r="W362" s="115">
        <v>2901.0160000000001</v>
      </c>
      <c r="X362" s="115">
        <f t="shared" si="89"/>
        <v>17049271.032000002</v>
      </c>
      <c r="Y362" s="259" t="s">
        <v>5097</v>
      </c>
      <c r="Z362" t="s">
        <v>25</v>
      </c>
      <c r="AI362" s="239">
        <v>71</v>
      </c>
      <c r="AJ362" s="239" t="s">
        <v>4917</v>
      </c>
      <c r="AK362" s="230">
        <v>30000</v>
      </c>
      <c r="AL362" s="239">
        <v>5</v>
      </c>
      <c r="AM362" s="239">
        <f t="shared" si="100"/>
        <v>659</v>
      </c>
      <c r="AN362" s="239">
        <f t="shared" si="101"/>
        <v>19770000</v>
      </c>
      <c r="AO362" s="239"/>
    </row>
    <row r="363" spans="18:46">
      <c r="R363" s="97" t="s">
        <v>4936</v>
      </c>
      <c r="S363" s="93">
        <v>618000</v>
      </c>
      <c r="U363" s="19" t="s">
        <v>5497</v>
      </c>
      <c r="V363" s="19">
        <v>2374</v>
      </c>
      <c r="W363" s="115">
        <v>2877</v>
      </c>
      <c r="X363" s="115">
        <f t="shared" ref="X363:X400" si="102">V363*W363</f>
        <v>6829998</v>
      </c>
      <c r="Y363" s="259" t="s">
        <v>5097</v>
      </c>
      <c r="AI363" s="20">
        <v>72</v>
      </c>
      <c r="AJ363" s="20" t="s">
        <v>4925</v>
      </c>
      <c r="AK363" s="115">
        <v>206000</v>
      </c>
      <c r="AL363" s="20">
        <v>0</v>
      </c>
      <c r="AM363" s="20">
        <f t="shared" si="100"/>
        <v>654</v>
      </c>
      <c r="AN363" s="20">
        <f t="shared" si="101"/>
        <v>134724000</v>
      </c>
      <c r="AO363" s="20"/>
    </row>
    <row r="364" spans="18:46">
      <c r="R364" s="97" t="s">
        <v>4940</v>
      </c>
      <c r="S364" s="93">
        <v>20105000</v>
      </c>
      <c r="U364" s="19" t="s">
        <v>4209</v>
      </c>
      <c r="V364" s="19">
        <v>2532</v>
      </c>
      <c r="W364" s="115">
        <v>2757.7444</v>
      </c>
      <c r="X364" s="115">
        <f t="shared" si="102"/>
        <v>6982608.8207999999</v>
      </c>
      <c r="Y364" s="259" t="s">
        <v>5097</v>
      </c>
      <c r="AI364" s="147">
        <v>73</v>
      </c>
      <c r="AJ364" s="147" t="s">
        <v>4925</v>
      </c>
      <c r="AK364" s="186">
        <v>206000</v>
      </c>
      <c r="AL364" s="147">
        <v>2</v>
      </c>
      <c r="AM364" s="147">
        <f t="shared" si="100"/>
        <v>654</v>
      </c>
      <c r="AN364" s="147">
        <f t="shared" si="101"/>
        <v>134724000</v>
      </c>
      <c r="AO364" s="147"/>
    </row>
    <row r="365" spans="18:46">
      <c r="R365" s="97" t="s">
        <v>4941</v>
      </c>
      <c r="S365" s="93">
        <v>-21079990</v>
      </c>
      <c r="U365" s="19" t="s">
        <v>4209</v>
      </c>
      <c r="V365" s="19">
        <v>4987</v>
      </c>
      <c r="W365" s="115">
        <v>2757.7444</v>
      </c>
      <c r="X365" s="115">
        <f t="shared" si="102"/>
        <v>13752871.322800001</v>
      </c>
      <c r="Y365" s="259" t="s">
        <v>5512</v>
      </c>
      <c r="Z365" t="s">
        <v>25</v>
      </c>
      <c r="AI365" s="20">
        <v>74</v>
      </c>
      <c r="AJ365" s="20" t="s">
        <v>4932</v>
      </c>
      <c r="AK365" s="115">
        <v>50000</v>
      </c>
      <c r="AL365" s="20">
        <v>0</v>
      </c>
      <c r="AM365" s="20">
        <f t="shared" si="100"/>
        <v>652</v>
      </c>
      <c r="AN365" s="20">
        <f t="shared" si="101"/>
        <v>32600000</v>
      </c>
      <c r="AO365" s="20"/>
    </row>
    <row r="366" spans="18:46">
      <c r="R366" s="97" t="s">
        <v>4947</v>
      </c>
      <c r="S366" s="93">
        <v>-5949277</v>
      </c>
      <c r="T366" t="s">
        <v>25</v>
      </c>
      <c r="U366" s="19" t="s">
        <v>4209</v>
      </c>
      <c r="V366" s="19">
        <v>997</v>
      </c>
      <c r="W366" s="115">
        <v>2757.7444</v>
      </c>
      <c r="X366" s="115">
        <f t="shared" si="102"/>
        <v>2749471.1668000002</v>
      </c>
      <c r="Y366" s="259" t="s">
        <v>5513</v>
      </c>
      <c r="AI366" s="239">
        <v>75</v>
      </c>
      <c r="AJ366" s="239" t="s">
        <v>4932</v>
      </c>
      <c r="AK366" s="230">
        <v>50000</v>
      </c>
      <c r="AL366" s="239">
        <v>2</v>
      </c>
      <c r="AM366" s="239">
        <f t="shared" si="100"/>
        <v>652</v>
      </c>
      <c r="AN366" s="239">
        <f t="shared" si="101"/>
        <v>32600000</v>
      </c>
      <c r="AO366" s="239"/>
    </row>
    <row r="367" spans="18:46">
      <c r="R367" s="97" t="s">
        <v>4953</v>
      </c>
      <c r="S367" s="93">
        <v>-15370656</v>
      </c>
      <c r="U367" s="19" t="s">
        <v>5517</v>
      </c>
      <c r="V367" s="19">
        <v>2874</v>
      </c>
      <c r="W367" s="115">
        <v>2613.1284000000001</v>
      </c>
      <c r="X367" s="115">
        <f t="shared" si="102"/>
        <v>7510131.0216000006</v>
      </c>
      <c r="Y367" s="259" t="s">
        <v>5097</v>
      </c>
      <c r="AI367" s="20">
        <v>76</v>
      </c>
      <c r="AJ367" s="20" t="s">
        <v>4936</v>
      </c>
      <c r="AK367" s="115">
        <v>20000000</v>
      </c>
      <c r="AL367" s="20">
        <v>7</v>
      </c>
      <c r="AM367" s="20">
        <f t="shared" si="100"/>
        <v>650</v>
      </c>
      <c r="AN367" s="20">
        <f t="shared" si="101"/>
        <v>13000000000</v>
      </c>
      <c r="AO367" s="20" t="s">
        <v>4937</v>
      </c>
    </row>
    <row r="368" spans="18:46">
      <c r="R368" s="97" t="s">
        <v>4953</v>
      </c>
      <c r="S368" s="93">
        <v>4960000</v>
      </c>
      <c r="U368" s="19" t="s">
        <v>5523</v>
      </c>
      <c r="V368" s="19">
        <v>2847</v>
      </c>
      <c r="W368" s="115">
        <v>2556.3841000000002</v>
      </c>
      <c r="X368" s="115">
        <f t="shared" si="102"/>
        <v>7278025.5327000003</v>
      </c>
      <c r="Y368" s="259" t="s">
        <v>5097</v>
      </c>
      <c r="AC368" t="s">
        <v>25</v>
      </c>
      <c r="AI368" s="20">
        <v>77</v>
      </c>
      <c r="AJ368" s="20" t="s">
        <v>4947</v>
      </c>
      <c r="AK368" s="115">
        <v>50000</v>
      </c>
      <c r="AL368" s="20">
        <v>0</v>
      </c>
      <c r="AM368" s="20">
        <f t="shared" si="100"/>
        <v>643</v>
      </c>
      <c r="AN368" s="20">
        <f t="shared" si="101"/>
        <v>32150000</v>
      </c>
      <c r="AO368" s="20"/>
    </row>
    <row r="369" spans="18:46">
      <c r="R369" s="97" t="s">
        <v>4960</v>
      </c>
      <c r="S369" s="93">
        <v>10000000</v>
      </c>
      <c r="U369" s="19" t="s">
        <v>5523</v>
      </c>
      <c r="V369" s="19">
        <v>1222</v>
      </c>
      <c r="W369" s="115">
        <v>2556.3841000000002</v>
      </c>
      <c r="X369" s="115">
        <f t="shared" si="102"/>
        <v>3123901.3702000002</v>
      </c>
      <c r="Y369" s="259" t="s">
        <v>5524</v>
      </c>
      <c r="AI369" s="147">
        <v>78</v>
      </c>
      <c r="AJ369" s="147" t="s">
        <v>4947</v>
      </c>
      <c r="AK369" s="186">
        <v>50000</v>
      </c>
      <c r="AL369" s="147">
        <v>7</v>
      </c>
      <c r="AM369" s="147">
        <f t="shared" si="100"/>
        <v>643</v>
      </c>
      <c r="AN369" s="147">
        <f t="shared" si="101"/>
        <v>32150000</v>
      </c>
      <c r="AO369" s="147"/>
    </row>
    <row r="370" spans="18:46">
      <c r="R370" s="97" t="s">
        <v>4969</v>
      </c>
      <c r="S370" s="93">
        <v>-40570100</v>
      </c>
      <c r="U370" s="19" t="s">
        <v>5532</v>
      </c>
      <c r="V370" s="19">
        <v>73</v>
      </c>
      <c r="W370" s="115">
        <v>2672.0459999999998</v>
      </c>
      <c r="X370" s="115">
        <f t="shared" si="102"/>
        <v>195059.35799999998</v>
      </c>
      <c r="Y370" s="259" t="s">
        <v>5097</v>
      </c>
      <c r="AI370" s="20">
        <v>79</v>
      </c>
      <c r="AJ370" s="20" t="s">
        <v>4953</v>
      </c>
      <c r="AK370" s="115">
        <v>2480000</v>
      </c>
      <c r="AL370" s="20">
        <v>0</v>
      </c>
      <c r="AM370" s="20">
        <f t="shared" si="100"/>
        <v>636</v>
      </c>
      <c r="AN370" s="20">
        <f t="shared" si="101"/>
        <v>1577280000</v>
      </c>
      <c r="AO370" s="20"/>
    </row>
    <row r="371" spans="18:46" ht="30">
      <c r="R371" s="97" t="s">
        <v>4970</v>
      </c>
      <c r="S371" s="93">
        <v>1000000</v>
      </c>
      <c r="U371" s="19" t="s">
        <v>5537</v>
      </c>
      <c r="V371" s="19">
        <v>332</v>
      </c>
      <c r="W371" s="115">
        <v>2598.1260000000002</v>
      </c>
      <c r="X371" s="115">
        <f t="shared" si="102"/>
        <v>862577.83200000005</v>
      </c>
      <c r="Y371" s="259" t="s">
        <v>5538</v>
      </c>
      <c r="Z371" t="s">
        <v>25</v>
      </c>
      <c r="AA371" t="s">
        <v>25</v>
      </c>
      <c r="AI371" s="147">
        <v>80</v>
      </c>
      <c r="AJ371" s="147" t="s">
        <v>4953</v>
      </c>
      <c r="AK371" s="186">
        <v>2480000</v>
      </c>
      <c r="AL371" s="147">
        <v>12</v>
      </c>
      <c r="AM371" s="147">
        <f t="shared" si="100"/>
        <v>636</v>
      </c>
      <c r="AN371" s="147">
        <f t="shared" si="101"/>
        <v>1577280000</v>
      </c>
      <c r="AO371" s="147"/>
    </row>
    <row r="372" spans="18:46">
      <c r="R372" s="97" t="s">
        <v>4977</v>
      </c>
      <c r="S372" s="93">
        <v>400000</v>
      </c>
      <c r="U372" s="19" t="s">
        <v>5539</v>
      </c>
      <c r="V372" s="19">
        <v>346</v>
      </c>
      <c r="W372" s="115">
        <v>2659.8510000000001</v>
      </c>
      <c r="X372" s="115">
        <f t="shared" si="102"/>
        <v>920308.446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4991</v>
      </c>
      <c r="S373" s="93">
        <v>120000</v>
      </c>
      <c r="U373" s="19" t="s">
        <v>5540</v>
      </c>
      <c r="V373" s="19">
        <v>1722</v>
      </c>
      <c r="W373" s="115">
        <v>2692.1079220000001</v>
      </c>
      <c r="X373" s="115">
        <f t="shared" si="102"/>
        <v>4635809.8416840006</v>
      </c>
      <c r="Y373" s="259" t="s">
        <v>5097</v>
      </c>
      <c r="Z373" t="s">
        <v>25</v>
      </c>
      <c r="AI373" s="20">
        <v>82</v>
      </c>
      <c r="AJ373" s="20" t="s">
        <v>4970</v>
      </c>
      <c r="AK373" s="115">
        <v>400000</v>
      </c>
      <c r="AL373" s="20">
        <v>3</v>
      </c>
      <c r="AM373" s="20">
        <f t="shared" si="100"/>
        <v>620</v>
      </c>
      <c r="AN373" s="20">
        <f t="shared" si="101"/>
        <v>248000000</v>
      </c>
      <c r="AO373" s="20"/>
    </row>
    <row r="374" spans="18:46">
      <c r="R374" s="97" t="s">
        <v>4982</v>
      </c>
      <c r="S374" s="93">
        <v>500000</v>
      </c>
      <c r="U374" s="19" t="s">
        <v>5542</v>
      </c>
      <c r="V374" s="19">
        <v>106</v>
      </c>
      <c r="W374" s="115">
        <v>2725.4</v>
      </c>
      <c r="X374" s="115">
        <f t="shared" si="102"/>
        <v>288892.40000000002</v>
      </c>
      <c r="Y374" s="259" t="s">
        <v>452</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5007</v>
      </c>
      <c r="S375" s="93">
        <v>744000</v>
      </c>
      <c r="U375" s="19" t="s">
        <v>5569</v>
      </c>
      <c r="V375" s="19">
        <v>25901</v>
      </c>
      <c r="W375" s="115">
        <v>2258.9090000000001</v>
      </c>
      <c r="X375" s="115">
        <f t="shared" si="102"/>
        <v>58508002.009000003</v>
      </c>
      <c r="Y375" s="259" t="s">
        <v>5097</v>
      </c>
      <c r="AI375" s="20">
        <v>84</v>
      </c>
      <c r="AJ375" s="20" t="s">
        <v>4977</v>
      </c>
      <c r="AK375" s="115">
        <v>40000</v>
      </c>
      <c r="AL375" s="20">
        <v>5</v>
      </c>
      <c r="AM375" s="20">
        <f t="shared" si="100"/>
        <v>617</v>
      </c>
      <c r="AN375" s="20">
        <f t="shared" si="101"/>
        <v>24680000</v>
      </c>
      <c r="AO375" s="20"/>
    </row>
    <row r="376" spans="18:46">
      <c r="R376" s="97" t="s">
        <v>5012</v>
      </c>
      <c r="S376" s="93">
        <v>65000</v>
      </c>
      <c r="U376" s="19" t="s">
        <v>5571</v>
      </c>
      <c r="V376" s="19">
        <v>951</v>
      </c>
      <c r="W376" s="115">
        <v>2361.2150799999999</v>
      </c>
      <c r="X376" s="115">
        <f t="shared" si="102"/>
        <v>2245515.5410799999</v>
      </c>
      <c r="Y376" s="259" t="s">
        <v>5097</v>
      </c>
      <c r="AI376" s="20">
        <v>85</v>
      </c>
      <c r="AJ376" s="20" t="s">
        <v>4985</v>
      </c>
      <c r="AK376" s="115">
        <v>200000</v>
      </c>
      <c r="AL376" s="20">
        <v>1</v>
      </c>
      <c r="AM376" s="20">
        <f t="shared" si="100"/>
        <v>612</v>
      </c>
      <c r="AN376" s="20">
        <f t="shared" si="101"/>
        <v>122400000</v>
      </c>
      <c r="AO376" s="20"/>
    </row>
    <row r="377" spans="18:46">
      <c r="R377" s="97" t="s">
        <v>4983</v>
      </c>
      <c r="S377" s="93">
        <v>-14053702</v>
      </c>
      <c r="U377" s="19" t="s">
        <v>5573</v>
      </c>
      <c r="V377" s="19">
        <v>7622</v>
      </c>
      <c r="W377" s="115">
        <v>2414.6810999999998</v>
      </c>
      <c r="X377" s="115">
        <f t="shared" si="102"/>
        <v>18404699.3442</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5048</v>
      </c>
      <c r="S378" s="93">
        <v>3555678</v>
      </c>
      <c r="U378" s="19" t="s">
        <v>5573</v>
      </c>
      <c r="V378" s="19">
        <v>-282</v>
      </c>
      <c r="W378" s="115">
        <v>2414.6810999999998</v>
      </c>
      <c r="X378" s="115">
        <f t="shared" si="102"/>
        <v>-680940.07019999996</v>
      </c>
      <c r="Y378" s="259" t="s">
        <v>5574</v>
      </c>
      <c r="AI378" s="20">
        <v>87</v>
      </c>
      <c r="AJ378" s="20" t="s">
        <v>4991</v>
      </c>
      <c r="AK378" s="115">
        <v>500000</v>
      </c>
      <c r="AL378" s="20">
        <v>3</v>
      </c>
      <c r="AM378" s="20">
        <f t="shared" si="103"/>
        <v>609</v>
      </c>
      <c r="AN378" s="20">
        <f t="shared" si="104"/>
        <v>304500000</v>
      </c>
      <c r="AO378" s="20"/>
    </row>
    <row r="379" spans="18:46">
      <c r="R379" s="97" t="s">
        <v>5052</v>
      </c>
      <c r="S379" s="93">
        <v>3495</v>
      </c>
      <c r="U379" s="19" t="s">
        <v>5573</v>
      </c>
      <c r="V379" s="19">
        <v>20162</v>
      </c>
      <c r="W379" s="115">
        <v>2414.6810999999998</v>
      </c>
      <c r="X379" s="115">
        <f t="shared" si="102"/>
        <v>48684800.338199995</v>
      </c>
      <c r="Y379" s="259" t="s">
        <v>5575</v>
      </c>
      <c r="AI379" s="20">
        <v>88</v>
      </c>
      <c r="AJ379" s="20" t="s">
        <v>4982</v>
      </c>
      <c r="AK379" s="115">
        <v>250000</v>
      </c>
      <c r="AL379" s="20">
        <v>0</v>
      </c>
      <c r="AM379" s="20">
        <f t="shared" si="103"/>
        <v>606</v>
      </c>
      <c r="AN379" s="20">
        <f t="shared" si="104"/>
        <v>151500000</v>
      </c>
      <c r="AO379" s="20"/>
    </row>
    <row r="380" spans="18:46">
      <c r="R380" s="97" t="s">
        <v>5054</v>
      </c>
      <c r="S380" s="93">
        <v>6000000</v>
      </c>
      <c r="U380" s="19" t="s">
        <v>5573</v>
      </c>
      <c r="V380" s="19">
        <v>-20162</v>
      </c>
      <c r="W380" s="115">
        <v>2414.6810999999998</v>
      </c>
      <c r="X380" s="115">
        <f t="shared" si="102"/>
        <v>-48684800.338199995</v>
      </c>
      <c r="Y380" s="259" t="s">
        <v>743</v>
      </c>
      <c r="AI380" s="239">
        <v>89</v>
      </c>
      <c r="AJ380" s="239" t="s">
        <v>4982</v>
      </c>
      <c r="AK380" s="230">
        <v>245000</v>
      </c>
      <c r="AL380" s="239">
        <v>16</v>
      </c>
      <c r="AM380" s="239">
        <f t="shared" si="103"/>
        <v>606</v>
      </c>
      <c r="AN380" s="239">
        <f t="shared" si="104"/>
        <v>148470000</v>
      </c>
      <c r="AO380" s="239"/>
    </row>
    <row r="381" spans="18:46">
      <c r="R381" s="97" t="s">
        <v>5055</v>
      </c>
      <c r="S381" s="93">
        <v>17220</v>
      </c>
      <c r="U381" s="19" t="s">
        <v>5576</v>
      </c>
      <c r="V381" s="19">
        <v>977</v>
      </c>
      <c r="W381" s="115">
        <v>2317.971947</v>
      </c>
      <c r="X381" s="115">
        <f t="shared" si="102"/>
        <v>2264658.5922190002</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8249</v>
      </c>
      <c r="T382" t="s">
        <v>25</v>
      </c>
      <c r="U382" s="19" t="s">
        <v>5578</v>
      </c>
      <c r="V382" s="19">
        <v>10280</v>
      </c>
      <c r="W382" s="115">
        <v>2225.429357</v>
      </c>
      <c r="X382" s="115">
        <f t="shared" si="102"/>
        <v>22877413.789960001</v>
      </c>
      <c r="Y382" s="259" t="s">
        <v>5097</v>
      </c>
      <c r="AI382" s="20">
        <v>91</v>
      </c>
      <c r="AJ382" s="20" t="s">
        <v>5016</v>
      </c>
      <c r="AK382" s="115">
        <v>780000</v>
      </c>
      <c r="AL382" s="20">
        <v>0</v>
      </c>
      <c r="AM382" s="20">
        <f t="shared" si="103"/>
        <v>590</v>
      </c>
      <c r="AN382" s="20">
        <f t="shared" si="104"/>
        <v>460200000</v>
      </c>
      <c r="AO382" s="20"/>
    </row>
    <row r="383" spans="18:46">
      <c r="R383" s="97" t="s">
        <v>5057</v>
      </c>
      <c r="S383" s="93">
        <v>6937</v>
      </c>
      <c r="U383" s="19" t="s">
        <v>5581</v>
      </c>
      <c r="V383" s="19">
        <v>1022</v>
      </c>
      <c r="W383" s="115">
        <v>2311.6824240000001</v>
      </c>
      <c r="X383" s="115">
        <f t="shared" si="102"/>
        <v>2362539.4373280001</v>
      </c>
      <c r="Y383" s="259" t="s">
        <v>5097</v>
      </c>
      <c r="AI383" s="191">
        <v>92</v>
      </c>
      <c r="AJ383" s="191" t="s">
        <v>5016</v>
      </c>
      <c r="AK383" s="192">
        <v>-300000</v>
      </c>
      <c r="AL383" s="191">
        <v>1</v>
      </c>
      <c r="AM383" s="191">
        <f t="shared" si="103"/>
        <v>590</v>
      </c>
      <c r="AN383" s="191">
        <f t="shared" si="104"/>
        <v>-177000000</v>
      </c>
      <c r="AO383" s="191"/>
    </row>
    <row r="384" spans="18:46">
      <c r="R384" s="97" t="s">
        <v>5060</v>
      </c>
      <c r="S384" s="93">
        <v>4046552</v>
      </c>
      <c r="U384" s="19" t="s">
        <v>5582</v>
      </c>
      <c r="V384" s="19">
        <v>6818</v>
      </c>
      <c r="W384" s="115">
        <v>2352.988656</v>
      </c>
      <c r="X384" s="115">
        <f t="shared" si="102"/>
        <v>16042676.656608</v>
      </c>
      <c r="Y384" s="259" t="s">
        <v>5097</v>
      </c>
      <c r="AI384" s="20">
        <v>93</v>
      </c>
      <c r="AJ384" s="20" t="s">
        <v>4983</v>
      </c>
      <c r="AK384" s="115">
        <v>300000</v>
      </c>
      <c r="AL384" s="20">
        <v>0</v>
      </c>
      <c r="AM384" s="20">
        <f t="shared" si="103"/>
        <v>589</v>
      </c>
      <c r="AN384" s="20">
        <f t="shared" si="104"/>
        <v>176700000</v>
      </c>
      <c r="AO384" s="20"/>
    </row>
    <row r="385" spans="16:46">
      <c r="R385" s="97" t="s">
        <v>5067</v>
      </c>
      <c r="S385" s="93">
        <v>-3884943</v>
      </c>
      <c r="U385" s="19" t="s">
        <v>5583</v>
      </c>
      <c r="V385" s="19">
        <v>8023</v>
      </c>
      <c r="W385" s="115">
        <v>2293.8167079999998</v>
      </c>
      <c r="X385" s="115">
        <f t="shared" si="102"/>
        <v>18403291.448284</v>
      </c>
      <c r="Y385" s="259" t="s">
        <v>5097</v>
      </c>
      <c r="AI385" s="20">
        <v>94</v>
      </c>
      <c r="AJ385" s="20" t="s">
        <v>4983</v>
      </c>
      <c r="AK385" s="115">
        <v>8660000</v>
      </c>
      <c r="AL385" s="20">
        <v>8</v>
      </c>
      <c r="AM385" s="20">
        <f t="shared" si="103"/>
        <v>589</v>
      </c>
      <c r="AN385" s="20">
        <f t="shared" si="104"/>
        <v>5100740000</v>
      </c>
      <c r="AO385" s="20"/>
    </row>
    <row r="386" spans="16:46">
      <c r="R386" s="97" t="s">
        <v>5093</v>
      </c>
      <c r="S386" s="93">
        <v>6022</v>
      </c>
      <c r="U386" s="19" t="s">
        <v>5586</v>
      </c>
      <c r="V386" s="19">
        <v>4666</v>
      </c>
      <c r="W386" s="115">
        <v>2263.4906230000001</v>
      </c>
      <c r="X386" s="115">
        <f t="shared" si="102"/>
        <v>10561447.246918</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400000</v>
      </c>
      <c r="U387" s="19" t="s">
        <v>5587</v>
      </c>
      <c r="V387" s="19">
        <v>542</v>
      </c>
      <c r="W387" s="115">
        <v>2263.4906230000001</v>
      </c>
      <c r="X387" s="115">
        <f t="shared" si="102"/>
        <v>1226811.9176660001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5096</v>
      </c>
      <c r="S388" s="93">
        <v>92847</v>
      </c>
      <c r="U388" s="19" t="s">
        <v>5588</v>
      </c>
      <c r="V388" s="19">
        <v>16629</v>
      </c>
      <c r="W388" s="115">
        <v>2367.7887540000002</v>
      </c>
      <c r="X388" s="115">
        <f t="shared" si="102"/>
        <v>39373959.190266006</v>
      </c>
      <c r="Y388" s="259" t="s">
        <v>5097</v>
      </c>
      <c r="AI388" s="20">
        <v>97</v>
      </c>
      <c r="AJ388" s="20" t="s">
        <v>5046</v>
      </c>
      <c r="AK388" s="115">
        <v>14340000</v>
      </c>
      <c r="AL388" s="20">
        <v>7</v>
      </c>
      <c r="AM388" s="20">
        <f t="shared" si="103"/>
        <v>577</v>
      </c>
      <c r="AN388" s="20">
        <f t="shared" si="104"/>
        <v>8274180000</v>
      </c>
      <c r="AO388" s="20"/>
      <c r="AT388" t="s">
        <v>25</v>
      </c>
    </row>
    <row r="389" spans="16:46">
      <c r="R389" s="97" t="s">
        <v>5100</v>
      </c>
      <c r="S389" s="93">
        <v>-100000</v>
      </c>
      <c r="U389" s="19" t="s">
        <v>5593</v>
      </c>
      <c r="V389" s="19">
        <v>11765</v>
      </c>
      <c r="W389" s="115">
        <v>2354.7375320000001</v>
      </c>
      <c r="X389" s="115">
        <f t="shared" si="102"/>
        <v>27703487.063980002</v>
      </c>
      <c r="Y389" s="259" t="s">
        <v>5097</v>
      </c>
      <c r="AI389" s="20">
        <v>98</v>
      </c>
      <c r="AJ389" s="20" t="s">
        <v>5052</v>
      </c>
      <c r="AK389" s="115">
        <v>10000000</v>
      </c>
      <c r="AL389" s="20">
        <v>6</v>
      </c>
      <c r="AM389" s="20">
        <f t="shared" si="103"/>
        <v>570</v>
      </c>
      <c r="AN389" s="20">
        <f t="shared" si="104"/>
        <v>5700000000</v>
      </c>
      <c r="AO389" s="20" t="s">
        <v>4669</v>
      </c>
    </row>
    <row r="390" spans="16:46">
      <c r="R390" s="97" t="s">
        <v>5105</v>
      </c>
      <c r="S390" s="93">
        <v>10000000</v>
      </c>
      <c r="U390" s="19" t="s">
        <v>5594</v>
      </c>
      <c r="V390" s="19">
        <v>3672</v>
      </c>
      <c r="W390" s="115">
        <v>2379.873826</v>
      </c>
      <c r="X390" s="115">
        <f t="shared" si="102"/>
        <v>8738896.6890719999</v>
      </c>
      <c r="Y390" s="259" t="s">
        <v>5097</v>
      </c>
      <c r="AA390" t="s">
        <v>25</v>
      </c>
      <c r="AI390" s="20">
        <v>99</v>
      </c>
      <c r="AJ390" s="20" t="s">
        <v>5057</v>
      </c>
      <c r="AK390" s="115">
        <v>4033949</v>
      </c>
      <c r="AL390" s="20">
        <v>2</v>
      </c>
      <c r="AM390" s="20">
        <f t="shared" si="103"/>
        <v>564</v>
      </c>
      <c r="AN390" s="20">
        <f t="shared" si="104"/>
        <v>2275147236</v>
      </c>
      <c r="AO390" s="20" t="s">
        <v>5059</v>
      </c>
    </row>
    <row r="391" spans="16:46">
      <c r="R391" s="97" t="s">
        <v>5109</v>
      </c>
      <c r="S391" s="93">
        <v>-400000</v>
      </c>
      <c r="U391" s="19" t="s">
        <v>4182</v>
      </c>
      <c r="V391" s="19">
        <v>140</v>
      </c>
      <c r="W391" s="115">
        <v>2487.154767</v>
      </c>
      <c r="X391" s="115">
        <f t="shared" si="102"/>
        <v>348201.66738</v>
      </c>
      <c r="Y391" s="259" t="s">
        <v>5097</v>
      </c>
      <c r="AI391" s="147">
        <v>100</v>
      </c>
      <c r="AJ391" s="147" t="s">
        <v>5063</v>
      </c>
      <c r="AK391" s="186">
        <v>11500000</v>
      </c>
      <c r="AL391" s="147">
        <v>2</v>
      </c>
      <c r="AM391" s="147">
        <f t="shared" si="103"/>
        <v>562</v>
      </c>
      <c r="AN391" s="147">
        <f t="shared" si="104"/>
        <v>6463000000</v>
      </c>
      <c r="AO391" s="147" t="s">
        <v>5065</v>
      </c>
    </row>
    <row r="392" spans="16:46">
      <c r="R392" s="97" t="s">
        <v>5111</v>
      </c>
      <c r="S392" s="93">
        <v>5649</v>
      </c>
      <c r="U392" s="19" t="s">
        <v>5596</v>
      </c>
      <c r="V392" s="19">
        <v>1616</v>
      </c>
      <c r="W392" s="115">
        <v>2573.0760479999999</v>
      </c>
      <c r="X392" s="115">
        <f t="shared" si="102"/>
        <v>4158090.8935679998</v>
      </c>
      <c r="Y392" s="259" t="s">
        <v>5097</v>
      </c>
      <c r="AI392" s="147">
        <v>101</v>
      </c>
      <c r="AJ392" s="147" t="s">
        <v>5067</v>
      </c>
      <c r="AK392" s="186">
        <v>250000</v>
      </c>
      <c r="AL392" s="147">
        <v>3</v>
      </c>
      <c r="AM392" s="147">
        <f t="shared" si="103"/>
        <v>560</v>
      </c>
      <c r="AN392" s="147">
        <f t="shared" si="104"/>
        <v>140000000</v>
      </c>
      <c r="AO392" s="147"/>
    </row>
    <row r="393" spans="16:46">
      <c r="P393" t="s">
        <v>25</v>
      </c>
      <c r="R393" s="97" t="s">
        <v>5112</v>
      </c>
      <c r="S393" s="93">
        <v>460000</v>
      </c>
      <c r="U393" s="187" t="s">
        <v>5597</v>
      </c>
      <c r="V393" s="187">
        <v>5682</v>
      </c>
      <c r="W393" s="186">
        <v>2639.970566</v>
      </c>
      <c r="X393" s="186">
        <f t="shared" si="102"/>
        <v>15000312.756012</v>
      </c>
      <c r="Y393" s="258" t="s">
        <v>5816</v>
      </c>
      <c r="AI393" s="147">
        <v>102</v>
      </c>
      <c r="AJ393" s="147" t="s">
        <v>5092</v>
      </c>
      <c r="AK393" s="186">
        <v>6000000</v>
      </c>
      <c r="AL393" s="147">
        <v>1</v>
      </c>
      <c r="AM393" s="147">
        <f t="shared" si="103"/>
        <v>557</v>
      </c>
      <c r="AN393" s="147">
        <f t="shared" si="104"/>
        <v>3342000000</v>
      </c>
      <c r="AO393" s="147" t="s">
        <v>5065</v>
      </c>
      <c r="AS393" t="s">
        <v>25</v>
      </c>
    </row>
    <row r="394" spans="16:46" ht="30">
      <c r="R394" s="97" t="s">
        <v>5112</v>
      </c>
      <c r="S394" s="93">
        <v>1300000</v>
      </c>
      <c r="U394" s="187" t="s">
        <v>5597</v>
      </c>
      <c r="V394" s="187">
        <v>-122</v>
      </c>
      <c r="W394" s="186">
        <v>2639.970566</v>
      </c>
      <c r="X394" s="186">
        <f t="shared" si="102"/>
        <v>-322076.40905199997</v>
      </c>
      <c r="Y394" s="258" t="s">
        <v>5852</v>
      </c>
      <c r="Z394" t="s">
        <v>25</v>
      </c>
      <c r="AI394" s="147">
        <v>103</v>
      </c>
      <c r="AJ394" s="147" t="s">
        <v>5093</v>
      </c>
      <c r="AK394" s="186">
        <v>1500000</v>
      </c>
      <c r="AL394" s="147">
        <v>6</v>
      </c>
      <c r="AM394" s="147">
        <f t="shared" si="103"/>
        <v>556</v>
      </c>
      <c r="AN394" s="147">
        <f t="shared" si="104"/>
        <v>834000000</v>
      </c>
      <c r="AO394" s="147" t="s">
        <v>5065</v>
      </c>
    </row>
    <row r="395" spans="16:46">
      <c r="R395" s="97" t="s">
        <v>975</v>
      </c>
      <c r="S395" s="93">
        <v>7300000</v>
      </c>
      <c r="U395" s="19" t="s">
        <v>5597</v>
      </c>
      <c r="V395" s="19">
        <v>2272</v>
      </c>
      <c r="W395" s="115">
        <v>2639.970566</v>
      </c>
      <c r="X395" s="115">
        <f t="shared" si="102"/>
        <v>5998013.1259519998</v>
      </c>
      <c r="Y395" s="259" t="s">
        <v>5606</v>
      </c>
      <c r="AI395" s="20">
        <v>104</v>
      </c>
      <c r="AJ395" s="20" t="s">
        <v>958</v>
      </c>
      <c r="AK395" s="115">
        <v>-3960043</v>
      </c>
      <c r="AL395" s="20">
        <v>2</v>
      </c>
      <c r="AM395" s="20">
        <f t="shared" si="103"/>
        <v>550</v>
      </c>
      <c r="AN395" s="20">
        <f t="shared" si="104"/>
        <v>-2178023650</v>
      </c>
      <c r="AO395" s="20"/>
    </row>
    <row r="396" spans="16:46" ht="30">
      <c r="R396" s="97" t="s">
        <v>4253</v>
      </c>
      <c r="S396" s="93">
        <v>21203</v>
      </c>
      <c r="U396" s="19" t="s">
        <v>5597</v>
      </c>
      <c r="V396" s="19">
        <v>4434</v>
      </c>
      <c r="W396" s="115">
        <v>2639.970566</v>
      </c>
      <c r="X396" s="115">
        <f t="shared" si="102"/>
        <v>11705629.489644</v>
      </c>
      <c r="Y396" s="259" t="s">
        <v>5607</v>
      </c>
      <c r="AB396" t="s">
        <v>25</v>
      </c>
      <c r="AI396" s="20">
        <v>105</v>
      </c>
      <c r="AJ396" s="20" t="s">
        <v>5111</v>
      </c>
      <c r="AK396" s="115">
        <v>230000</v>
      </c>
      <c r="AL396" s="20">
        <v>0</v>
      </c>
      <c r="AM396" s="20">
        <f t="shared" si="103"/>
        <v>548</v>
      </c>
      <c r="AN396" s="20">
        <f t="shared" si="104"/>
        <v>126040000</v>
      </c>
      <c r="AO396" s="20"/>
    </row>
    <row r="397" spans="16:46">
      <c r="R397" s="97" t="s">
        <v>5110</v>
      </c>
      <c r="S397" s="93">
        <v>34550</v>
      </c>
      <c r="U397" s="19" t="s">
        <v>5597</v>
      </c>
      <c r="V397" s="19">
        <v>2349</v>
      </c>
      <c r="W397" s="115">
        <v>2639.970566</v>
      </c>
      <c r="X397" s="115">
        <f t="shared" si="102"/>
        <v>6201290.859534</v>
      </c>
      <c r="Y397" s="259" t="s">
        <v>5608</v>
      </c>
      <c r="AI397" s="147">
        <v>106</v>
      </c>
      <c r="AJ397" s="147" t="s">
        <v>5111</v>
      </c>
      <c r="AK397" s="186">
        <v>230000</v>
      </c>
      <c r="AL397" s="147">
        <v>1</v>
      </c>
      <c r="AM397" s="147">
        <f t="shared" si="103"/>
        <v>548</v>
      </c>
      <c r="AN397" s="147">
        <f t="shared" si="104"/>
        <v>126040000</v>
      </c>
      <c r="AO397" s="147"/>
    </row>
    <row r="398" spans="16:46" ht="21" customHeight="1">
      <c r="R398" s="97" t="s">
        <v>5147</v>
      </c>
      <c r="S398" s="93">
        <v>-2134406</v>
      </c>
      <c r="U398" s="19" t="s">
        <v>5597</v>
      </c>
      <c r="V398" s="19">
        <v>-568</v>
      </c>
      <c r="W398" s="115">
        <v>2639.970566</v>
      </c>
      <c r="X398" s="115">
        <f t="shared" si="102"/>
        <v>-1499503.2814879999</v>
      </c>
      <c r="Y398" s="259" t="s">
        <v>5609</v>
      </c>
      <c r="Z398" t="s">
        <v>25</v>
      </c>
      <c r="AI398" s="147">
        <v>107</v>
      </c>
      <c r="AJ398" s="147" t="s">
        <v>5112</v>
      </c>
      <c r="AK398" s="186">
        <v>500000</v>
      </c>
      <c r="AL398" s="147">
        <v>1</v>
      </c>
      <c r="AM398" s="147">
        <f t="shared" si="103"/>
        <v>547</v>
      </c>
      <c r="AN398" s="147">
        <f t="shared" si="104"/>
        <v>273500000</v>
      </c>
      <c r="AO398" s="147"/>
    </row>
    <row r="399" spans="16:46" ht="30">
      <c r="R399" s="97" t="s">
        <v>5150</v>
      </c>
      <c r="S399" s="93">
        <v>-618906</v>
      </c>
      <c r="U399" s="19" t="s">
        <v>5597</v>
      </c>
      <c r="V399" s="19">
        <v>568</v>
      </c>
      <c r="W399" s="115">
        <v>2639.970566</v>
      </c>
      <c r="X399" s="115">
        <f t="shared" si="102"/>
        <v>1499503.2814879999</v>
      </c>
      <c r="Y399" s="259" t="s">
        <v>5609</v>
      </c>
      <c r="AI399" s="20">
        <v>108</v>
      </c>
      <c r="AJ399" s="20" t="s">
        <v>5115</v>
      </c>
      <c r="AK399" s="115">
        <v>-880000</v>
      </c>
      <c r="AL399" s="20">
        <v>4</v>
      </c>
      <c r="AM399" s="20">
        <f t="shared" si="103"/>
        <v>546</v>
      </c>
      <c r="AN399" s="20">
        <f t="shared" si="104"/>
        <v>-480480000</v>
      </c>
      <c r="AO399" s="20"/>
    </row>
    <row r="400" spans="16:46" ht="18" customHeight="1">
      <c r="R400" s="97" t="s">
        <v>5192</v>
      </c>
      <c r="S400" s="93">
        <v>-54615</v>
      </c>
      <c r="U400" s="19" t="s">
        <v>5600</v>
      </c>
      <c r="V400" s="19">
        <v>4589</v>
      </c>
      <c r="W400" s="115">
        <v>2639.970566</v>
      </c>
      <c r="X400" s="115">
        <f t="shared" si="102"/>
        <v>12114824.927374</v>
      </c>
      <c r="Y400" s="259" t="s">
        <v>5610</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5237</v>
      </c>
      <c r="S401" s="93">
        <v>18000000</v>
      </c>
      <c r="U401" s="19" t="s">
        <v>5600</v>
      </c>
      <c r="V401" s="19">
        <v>41959</v>
      </c>
      <c r="W401" s="115">
        <v>2639.970566</v>
      </c>
      <c r="X401" s="115">
        <f t="shared" ref="X401:X542" si="105">V401*W401</f>
        <v>110770524.97879399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5244</v>
      </c>
      <c r="S402" s="93">
        <v>20000000</v>
      </c>
      <c r="U402" s="19" t="s">
        <v>5612</v>
      </c>
      <c r="V402" s="19">
        <v>2486</v>
      </c>
      <c r="W402" s="115">
        <v>2688.7156100000002</v>
      </c>
      <c r="X402" s="115">
        <f t="shared" si="105"/>
        <v>6684147.0064600008</v>
      </c>
      <c r="Y402" s="259" t="s">
        <v>5097</v>
      </c>
      <c r="AI402" s="20">
        <v>111</v>
      </c>
      <c r="AJ402" s="20" t="s">
        <v>5119</v>
      </c>
      <c r="AK402" s="115">
        <v>73000</v>
      </c>
      <c r="AL402" s="20">
        <v>1</v>
      </c>
      <c r="AM402" s="20">
        <f t="shared" si="103"/>
        <v>542</v>
      </c>
      <c r="AN402" s="20">
        <f t="shared" si="104"/>
        <v>39566000</v>
      </c>
      <c r="AO402" s="20"/>
      <c r="AT402" t="s">
        <v>25</v>
      </c>
    </row>
    <row r="403" spans="18:46">
      <c r="R403" s="97" t="s">
        <v>5318</v>
      </c>
      <c r="S403" s="93">
        <v>27694196</v>
      </c>
      <c r="U403" s="19" t="s">
        <v>5615</v>
      </c>
      <c r="V403" s="19">
        <v>652</v>
      </c>
      <c r="W403" s="115">
        <v>2801.4344030000002</v>
      </c>
      <c r="X403" s="115">
        <f t="shared" si="105"/>
        <v>1826535.2307560001</v>
      </c>
      <c r="Y403" s="259" t="s">
        <v>5097</v>
      </c>
      <c r="AI403" s="20">
        <v>112</v>
      </c>
      <c r="AJ403" s="20" t="s">
        <v>975</v>
      </c>
      <c r="AK403" s="115">
        <v>4300000</v>
      </c>
      <c r="AL403" s="20">
        <v>1</v>
      </c>
      <c r="AM403" s="20">
        <f t="shared" si="103"/>
        <v>541</v>
      </c>
      <c r="AN403" s="20">
        <f t="shared" si="104"/>
        <v>2326300000</v>
      </c>
      <c r="AO403" s="20"/>
    </row>
    <row r="404" spans="18:46">
      <c r="R404" s="97" t="s">
        <v>5319</v>
      </c>
      <c r="S404" s="93">
        <v>7211722</v>
      </c>
      <c r="T404" t="s">
        <v>25</v>
      </c>
      <c r="U404" s="187" t="s">
        <v>5615</v>
      </c>
      <c r="V404" s="187">
        <v>-536</v>
      </c>
      <c r="W404" s="186">
        <v>2801.4344030000002</v>
      </c>
      <c r="X404" s="186">
        <f t="shared" si="105"/>
        <v>-1501568.8400080001</v>
      </c>
      <c r="Y404" s="258" t="s">
        <v>5627</v>
      </c>
      <c r="AI404" s="20">
        <v>113</v>
      </c>
      <c r="AJ404" s="20" t="s">
        <v>4995</v>
      </c>
      <c r="AK404" s="115">
        <v>1600000</v>
      </c>
      <c r="AL404" s="20">
        <v>0</v>
      </c>
      <c r="AM404" s="20">
        <f t="shared" si="103"/>
        <v>540</v>
      </c>
      <c r="AN404" s="20">
        <f t="shared" si="104"/>
        <v>864000000</v>
      </c>
      <c r="AO404" s="20"/>
    </row>
    <row r="405" spans="18:46">
      <c r="R405" s="97" t="s">
        <v>5323</v>
      </c>
      <c r="S405" s="93">
        <v>8481864</v>
      </c>
      <c r="U405" s="19" t="s">
        <v>5619</v>
      </c>
      <c r="V405" s="19">
        <v>1351</v>
      </c>
      <c r="W405" s="115">
        <v>2647.94</v>
      </c>
      <c r="X405" s="115">
        <f t="shared" si="105"/>
        <v>3577366.94</v>
      </c>
      <c r="Y405" s="259" t="s">
        <v>5097</v>
      </c>
      <c r="AI405" s="20">
        <v>114</v>
      </c>
      <c r="AJ405" s="20" t="s">
        <v>4253</v>
      </c>
      <c r="AK405" s="115">
        <v>-10000000</v>
      </c>
      <c r="AL405" s="20">
        <v>1</v>
      </c>
      <c r="AM405" s="20">
        <f t="shared" si="103"/>
        <v>540</v>
      </c>
      <c r="AN405" s="20">
        <f t="shared" si="104"/>
        <v>-5400000000</v>
      </c>
      <c r="AO405" s="20" t="s">
        <v>5125</v>
      </c>
    </row>
    <row r="406" spans="18:46">
      <c r="R406" s="97" t="s">
        <v>5327</v>
      </c>
      <c r="S406" s="93">
        <v>1558697</v>
      </c>
      <c r="U406" s="19" t="s">
        <v>5621</v>
      </c>
      <c r="V406" s="19">
        <v>8402</v>
      </c>
      <c r="W406" s="115">
        <v>2527.8539839999999</v>
      </c>
      <c r="X406" s="115">
        <f t="shared" si="105"/>
        <v>21239029.173567999</v>
      </c>
      <c r="Y406" s="259" t="s">
        <v>5097</v>
      </c>
      <c r="AI406" s="20">
        <v>115</v>
      </c>
      <c r="AJ406" s="20" t="s">
        <v>5124</v>
      </c>
      <c r="AK406" s="115">
        <v>571000</v>
      </c>
      <c r="AL406" s="20">
        <v>4</v>
      </c>
      <c r="AM406" s="20">
        <f t="shared" si="103"/>
        <v>539</v>
      </c>
      <c r="AN406" s="20">
        <f t="shared" si="104"/>
        <v>307769000</v>
      </c>
      <c r="AO406" s="20"/>
    </row>
    <row r="407" spans="18:46">
      <c r="R407" s="97" t="s">
        <v>5328</v>
      </c>
      <c r="S407" s="93">
        <v>9042009</v>
      </c>
      <c r="U407" s="19" t="s">
        <v>5624</v>
      </c>
      <c r="V407" s="19">
        <v>98141</v>
      </c>
      <c r="W407" s="115">
        <v>2475.593813</v>
      </c>
      <c r="X407" s="115">
        <f t="shared" si="105"/>
        <v>242957252.40163299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94969</v>
      </c>
      <c r="U408" s="19" t="s">
        <v>5628</v>
      </c>
      <c r="V408" s="19">
        <v>2910</v>
      </c>
      <c r="W408" s="115">
        <v>2528.240988</v>
      </c>
      <c r="X408" s="115">
        <f t="shared" si="105"/>
        <v>7357181.2750800001</v>
      </c>
      <c r="Y408" s="259" t="s">
        <v>5097</v>
      </c>
      <c r="AA408" t="s">
        <v>25</v>
      </c>
      <c r="AI408" s="147">
        <v>117</v>
      </c>
      <c r="AJ408" s="147" t="s">
        <v>5132</v>
      </c>
      <c r="AK408" s="186">
        <v>50000</v>
      </c>
      <c r="AL408" s="147">
        <v>7</v>
      </c>
      <c r="AM408" s="147">
        <f t="shared" si="106"/>
        <v>532</v>
      </c>
      <c r="AN408" s="147">
        <f t="shared" si="107"/>
        <v>26600000</v>
      </c>
      <c r="AO408" s="147"/>
    </row>
    <row r="409" spans="18:46">
      <c r="R409" s="97" t="s">
        <v>5332</v>
      </c>
      <c r="S409" s="93">
        <v>40000000</v>
      </c>
      <c r="U409" s="19" t="s">
        <v>5630</v>
      </c>
      <c r="V409" s="19">
        <v>5652</v>
      </c>
      <c r="W409" s="115">
        <v>2645.3312000000001</v>
      </c>
      <c r="X409" s="115">
        <f t="shared" si="105"/>
        <v>14951411.942400001</v>
      </c>
      <c r="Y409" s="259" t="s">
        <v>5097</v>
      </c>
      <c r="AI409" s="20">
        <v>118</v>
      </c>
      <c r="AJ409" s="20" t="s">
        <v>5140</v>
      </c>
      <c r="AK409" s="115">
        <v>-500000</v>
      </c>
      <c r="AL409" s="20">
        <v>12</v>
      </c>
      <c r="AM409" s="20">
        <f t="shared" si="106"/>
        <v>525</v>
      </c>
      <c r="AN409" s="20">
        <f t="shared" si="107"/>
        <v>-262500000</v>
      </c>
      <c r="AO409" s="20"/>
    </row>
    <row r="410" spans="18:46">
      <c r="R410" s="97" t="s">
        <v>5333</v>
      </c>
      <c r="S410" s="93">
        <v>2806274</v>
      </c>
      <c r="U410" s="19" t="s">
        <v>5634</v>
      </c>
      <c r="V410" s="19">
        <v>18764</v>
      </c>
      <c r="W410" s="115">
        <v>2554.2639829999998</v>
      </c>
      <c r="X410" s="115">
        <f t="shared" si="105"/>
        <v>47928209.377011999</v>
      </c>
      <c r="Y410" s="259" t="s">
        <v>5097</v>
      </c>
      <c r="AI410" s="147">
        <v>119</v>
      </c>
      <c r="AJ410" s="147" t="s">
        <v>974</v>
      </c>
      <c r="AK410" s="186">
        <v>-50000</v>
      </c>
      <c r="AL410" s="147">
        <v>0</v>
      </c>
      <c r="AM410" s="147">
        <f t="shared" si="106"/>
        <v>513</v>
      </c>
      <c r="AN410" s="147">
        <f t="shared" si="107"/>
        <v>-25650000</v>
      </c>
      <c r="AO410" s="147"/>
    </row>
    <row r="411" spans="18:46">
      <c r="R411" s="97" t="s">
        <v>5341</v>
      </c>
      <c r="S411" s="93">
        <v>1331702</v>
      </c>
      <c r="U411" s="19" t="s">
        <v>5636</v>
      </c>
      <c r="V411" s="19">
        <v>930</v>
      </c>
      <c r="W411" s="115">
        <v>2453.3287089999999</v>
      </c>
      <c r="X411" s="115">
        <f t="shared" si="105"/>
        <v>2281595.69937</v>
      </c>
      <c r="Y411" s="259" t="s">
        <v>5097</v>
      </c>
      <c r="AB411" t="s">
        <v>25</v>
      </c>
      <c r="AI411" s="20">
        <v>120</v>
      </c>
      <c r="AJ411" s="20" t="s">
        <v>974</v>
      </c>
      <c r="AK411" s="115">
        <v>-50000</v>
      </c>
      <c r="AL411" s="20">
        <v>28</v>
      </c>
      <c r="AM411" s="20">
        <f t="shared" si="106"/>
        <v>513</v>
      </c>
      <c r="AN411" s="20">
        <f t="shared" si="107"/>
        <v>-25650000</v>
      </c>
      <c r="AO411" s="20"/>
    </row>
    <row r="412" spans="18:46">
      <c r="R412" s="97" t="s">
        <v>5375</v>
      </c>
      <c r="S412" s="93">
        <v>851238</v>
      </c>
      <c r="U412" s="19" t="s">
        <v>5638</v>
      </c>
      <c r="V412" s="19">
        <v>1167</v>
      </c>
      <c r="W412" s="115">
        <v>2540.6307069999998</v>
      </c>
      <c r="X412" s="115">
        <f t="shared" si="105"/>
        <v>2964916.035069</v>
      </c>
      <c r="Y412" s="259" t="s">
        <v>5097</v>
      </c>
      <c r="AI412" s="20">
        <v>121</v>
      </c>
      <c r="AJ412" s="20" t="s">
        <v>5181</v>
      </c>
      <c r="AK412" s="115">
        <v>-3020625</v>
      </c>
      <c r="AL412" s="20">
        <v>18</v>
      </c>
      <c r="AM412" s="20">
        <f t="shared" si="106"/>
        <v>485</v>
      </c>
      <c r="AN412" s="20">
        <f t="shared" si="107"/>
        <v>-1465003125</v>
      </c>
      <c r="AO412" s="20"/>
    </row>
    <row r="413" spans="18:46">
      <c r="R413" s="97" t="s">
        <v>5418</v>
      </c>
      <c r="S413" s="93">
        <v>652592</v>
      </c>
      <c r="U413" s="19" t="s">
        <v>5639</v>
      </c>
      <c r="V413" s="19">
        <v>2538</v>
      </c>
      <c r="W413" s="115">
        <v>2545.5277489999999</v>
      </c>
      <c r="X413" s="115">
        <f t="shared" si="105"/>
        <v>6460549.4269619994</v>
      </c>
      <c r="Y413" s="259" t="s">
        <v>5097</v>
      </c>
      <c r="AA413" t="s">
        <v>25</v>
      </c>
      <c r="AB413" t="s">
        <v>25</v>
      </c>
      <c r="AI413" s="20">
        <v>122</v>
      </c>
      <c r="AJ413" s="20" t="s">
        <v>5192</v>
      </c>
      <c r="AK413" s="115">
        <v>18000000</v>
      </c>
      <c r="AL413" s="20">
        <v>19</v>
      </c>
      <c r="AM413" s="20">
        <f t="shared" si="106"/>
        <v>467</v>
      </c>
      <c r="AN413" s="20">
        <f t="shared" si="107"/>
        <v>8406000000</v>
      </c>
      <c r="AO413" s="20"/>
      <c r="AS413" t="s">
        <v>25</v>
      </c>
    </row>
    <row r="414" spans="18:46">
      <c r="R414" s="97" t="s">
        <v>5419</v>
      </c>
      <c r="S414" s="93">
        <v>554139</v>
      </c>
      <c r="U414" s="19" t="s">
        <v>5641</v>
      </c>
      <c r="V414" s="19">
        <v>2106</v>
      </c>
      <c r="W414" s="115">
        <v>2474.9857059999999</v>
      </c>
      <c r="X414" s="115">
        <f t="shared" si="105"/>
        <v>5212319.8968359996</v>
      </c>
      <c r="Y414" s="259" t="s">
        <v>5097</v>
      </c>
      <c r="AB414" t="s">
        <v>25</v>
      </c>
      <c r="AI414" s="20">
        <v>123</v>
      </c>
      <c r="AJ414" s="20" t="s">
        <v>5219</v>
      </c>
      <c r="AK414" s="115">
        <v>2000000</v>
      </c>
      <c r="AL414" s="20">
        <v>6</v>
      </c>
      <c r="AM414" s="20">
        <f t="shared" si="106"/>
        <v>448</v>
      </c>
      <c r="AN414" s="20">
        <f t="shared" si="107"/>
        <v>896000000</v>
      </c>
      <c r="AO414" s="20"/>
    </row>
    <row r="415" spans="18:46">
      <c r="R415" s="97" t="s">
        <v>5420</v>
      </c>
      <c r="S415" s="93">
        <v>70373089</v>
      </c>
      <c r="U415" s="19" t="s">
        <v>5644</v>
      </c>
      <c r="V415" s="19">
        <v>1801</v>
      </c>
      <c r="W415" s="115">
        <v>2512.2134809999998</v>
      </c>
      <c r="X415" s="115">
        <f t="shared" si="105"/>
        <v>4524496.4792809999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5421</v>
      </c>
      <c r="S416" s="93">
        <v>1219655</v>
      </c>
      <c r="U416" s="19" t="s">
        <v>5646</v>
      </c>
      <c r="V416" s="19">
        <v>9184</v>
      </c>
      <c r="W416" s="115">
        <v>2489.76919</v>
      </c>
      <c r="X416" s="115">
        <f t="shared" si="105"/>
        <v>22866040.240959998</v>
      </c>
      <c r="Y416" s="259" t="s">
        <v>5097</v>
      </c>
      <c r="AI416" s="20">
        <v>125</v>
      </c>
      <c r="AJ416" s="20" t="s">
        <v>5237</v>
      </c>
      <c r="AK416" s="115">
        <v>200000</v>
      </c>
      <c r="AL416" s="20">
        <v>0</v>
      </c>
      <c r="AM416" s="20">
        <f t="shared" si="106"/>
        <v>436</v>
      </c>
      <c r="AN416" s="20">
        <f t="shared" si="107"/>
        <v>87200000</v>
      </c>
      <c r="AO416" s="20"/>
    </row>
    <row r="417" spans="18:46">
      <c r="R417" s="97" t="s">
        <v>5422</v>
      </c>
      <c r="S417" s="93">
        <v>15350146</v>
      </c>
      <c r="U417" s="19" t="s">
        <v>5648</v>
      </c>
      <c r="V417" s="19">
        <v>6259</v>
      </c>
      <c r="W417" s="115">
        <v>2453.954988</v>
      </c>
      <c r="X417" s="115">
        <f t="shared" si="105"/>
        <v>15359304.269892</v>
      </c>
      <c r="Y417" s="259" t="s">
        <v>5097</v>
      </c>
      <c r="Z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5426</v>
      </c>
      <c r="S418" s="93">
        <v>121018</v>
      </c>
      <c r="U418" s="19" t="s">
        <v>5650</v>
      </c>
      <c r="V418" s="19">
        <v>1223</v>
      </c>
      <c r="W418" s="115">
        <v>2345.4686710000001</v>
      </c>
      <c r="X418" s="115">
        <f t="shared" si="105"/>
        <v>2868508.1846330003</v>
      </c>
      <c r="Y418" s="259" t="s">
        <v>5097</v>
      </c>
      <c r="AI418" s="20">
        <v>127</v>
      </c>
      <c r="AJ418" s="20" t="s">
        <v>5240</v>
      </c>
      <c r="AK418" s="115">
        <v>50000</v>
      </c>
      <c r="AL418" s="20">
        <v>4</v>
      </c>
      <c r="AM418" s="20">
        <f t="shared" si="106"/>
        <v>435</v>
      </c>
      <c r="AN418" s="20">
        <f t="shared" si="107"/>
        <v>21750000</v>
      </c>
      <c r="AO418" s="20"/>
    </row>
    <row r="419" spans="18:46">
      <c r="R419" s="97" t="s">
        <v>5438</v>
      </c>
      <c r="S419" s="93">
        <v>1024993</v>
      </c>
      <c r="U419" s="19" t="s">
        <v>5651</v>
      </c>
      <c r="V419" s="19">
        <v>7804</v>
      </c>
      <c r="W419" s="115">
        <v>2236.0831640000001</v>
      </c>
      <c r="X419" s="115">
        <f t="shared" si="105"/>
        <v>17450393.011856001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5439</v>
      </c>
      <c r="S420" s="93">
        <v>1948077</v>
      </c>
      <c r="U420" s="19" t="s">
        <v>5652</v>
      </c>
      <c r="V420" s="19">
        <v>14589</v>
      </c>
      <c r="W420" s="115">
        <v>2151.5486500000002</v>
      </c>
      <c r="X420" s="115">
        <f t="shared" si="105"/>
        <v>31388943.254850004</v>
      </c>
      <c r="Y420" s="259" t="s">
        <v>5097</v>
      </c>
      <c r="AI420" s="20">
        <v>129</v>
      </c>
      <c r="AJ420" s="20" t="s">
        <v>5258</v>
      </c>
      <c r="AK420" s="115">
        <v>-550000</v>
      </c>
      <c r="AL420" s="20">
        <v>5</v>
      </c>
      <c r="AM420" s="20">
        <f t="shared" si="108"/>
        <v>422</v>
      </c>
      <c r="AN420" s="20">
        <f t="shared" si="109"/>
        <v>-232100000</v>
      </c>
      <c r="AO420" s="20"/>
      <c r="AS420" t="s">
        <v>25</v>
      </c>
    </row>
    <row r="421" spans="18:46">
      <c r="R421" s="97" t="s">
        <v>5440</v>
      </c>
      <c r="S421" s="93">
        <v>50000120</v>
      </c>
      <c r="U421" s="19" t="s">
        <v>5653</v>
      </c>
      <c r="V421" s="19">
        <v>14741</v>
      </c>
      <c r="W421" s="115">
        <v>2097.0148140000001</v>
      </c>
      <c r="X421" s="115">
        <f t="shared" si="105"/>
        <v>30912095.373174001</v>
      </c>
      <c r="Y421" s="259" t="s">
        <v>5097</v>
      </c>
      <c r="Z421" t="s">
        <v>25</v>
      </c>
      <c r="AI421" s="20">
        <v>130</v>
      </c>
      <c r="AJ421" s="20" t="s">
        <v>5263</v>
      </c>
      <c r="AK421" s="115">
        <v>-29686490</v>
      </c>
      <c r="AL421" s="20">
        <v>1</v>
      </c>
      <c r="AM421" s="20">
        <f t="shared" si="108"/>
        <v>417</v>
      </c>
      <c r="AN421" s="20">
        <f t="shared" si="109"/>
        <v>-12379266330</v>
      </c>
      <c r="AO421" s="20"/>
    </row>
    <row r="422" spans="18:46">
      <c r="R422" s="97" t="s">
        <v>5463</v>
      </c>
      <c r="S422" s="93">
        <v>20000055</v>
      </c>
      <c r="U422" s="19" t="s">
        <v>5655</v>
      </c>
      <c r="V422" s="19">
        <v>10237</v>
      </c>
      <c r="W422" s="115">
        <v>1914.9092619999999</v>
      </c>
      <c r="X422" s="115">
        <f t="shared" si="105"/>
        <v>19602926.115093999</v>
      </c>
      <c r="Y422" s="259" t="s">
        <v>5097</v>
      </c>
      <c r="AA422" t="s">
        <v>25</v>
      </c>
      <c r="AI422" s="20">
        <v>131</v>
      </c>
      <c r="AJ422" s="20" t="s">
        <v>5271</v>
      </c>
      <c r="AK422" s="115">
        <v>-9000000</v>
      </c>
      <c r="AL422" s="20">
        <v>8</v>
      </c>
      <c r="AM422" s="20">
        <f t="shared" si="108"/>
        <v>416</v>
      </c>
      <c r="AN422" s="20">
        <f t="shared" si="109"/>
        <v>-3744000000</v>
      </c>
      <c r="AO422" s="20"/>
    </row>
    <row r="423" spans="18:46">
      <c r="R423" s="97" t="s">
        <v>5464</v>
      </c>
      <c r="S423" s="93">
        <v>5745697</v>
      </c>
      <c r="U423" s="19" t="s">
        <v>5659</v>
      </c>
      <c r="V423" s="19">
        <v>19211</v>
      </c>
      <c r="W423" s="115">
        <v>1793.6906100000001</v>
      </c>
      <c r="X423" s="115">
        <f t="shared" si="105"/>
        <v>34458590.308710001</v>
      </c>
      <c r="Y423" s="259" t="s">
        <v>5097</v>
      </c>
      <c r="AA423" t="s">
        <v>25</v>
      </c>
      <c r="AI423" s="20">
        <v>132</v>
      </c>
      <c r="AJ423" s="20" t="s">
        <v>5314</v>
      </c>
      <c r="AK423" s="115">
        <v>810000</v>
      </c>
      <c r="AL423" s="20">
        <v>2</v>
      </c>
      <c r="AM423" s="20">
        <f t="shared" si="108"/>
        <v>408</v>
      </c>
      <c r="AN423" s="20">
        <f t="shared" si="109"/>
        <v>330480000</v>
      </c>
      <c r="AO423" s="20"/>
    </row>
    <row r="424" spans="18:46">
      <c r="R424" s="97" t="s">
        <v>5465</v>
      </c>
      <c r="S424" s="93">
        <v>908158</v>
      </c>
      <c r="U424" s="19" t="s">
        <v>5661</v>
      </c>
      <c r="V424" s="19">
        <v>11599</v>
      </c>
      <c r="W424" s="115">
        <v>1870.667144</v>
      </c>
      <c r="X424" s="115">
        <f t="shared" si="105"/>
        <v>21697868.203256</v>
      </c>
      <c r="Y424" s="259" t="s">
        <v>5097</v>
      </c>
      <c r="Z424" t="s">
        <v>25</v>
      </c>
      <c r="AI424" s="20">
        <v>133</v>
      </c>
      <c r="AJ424" s="20" t="s">
        <v>5319</v>
      </c>
      <c r="AK424" s="115">
        <v>-5000000</v>
      </c>
      <c r="AL424" s="20">
        <v>3</v>
      </c>
      <c r="AM424" s="20">
        <f t="shared" si="108"/>
        <v>406</v>
      </c>
      <c r="AN424" s="20">
        <f t="shared" si="109"/>
        <v>-2030000000</v>
      </c>
      <c r="AO424" s="20"/>
    </row>
    <row r="425" spans="18:46">
      <c r="R425" s="97" t="s">
        <v>5466</v>
      </c>
      <c r="S425" s="93">
        <v>12642697</v>
      </c>
      <c r="T425" t="s">
        <v>25</v>
      </c>
      <c r="U425" s="19" t="s">
        <v>5663</v>
      </c>
      <c r="V425" s="19">
        <v>14098</v>
      </c>
      <c r="W425" s="115">
        <v>1797.423695</v>
      </c>
      <c r="X425" s="115">
        <f t="shared" si="105"/>
        <v>25340079.252110001</v>
      </c>
      <c r="Y425" s="259" t="s">
        <v>5097</v>
      </c>
      <c r="AI425" s="20">
        <v>134</v>
      </c>
      <c r="AJ425" s="20" t="s">
        <v>5323</v>
      </c>
      <c r="AK425" s="115">
        <v>-26000000</v>
      </c>
      <c r="AL425" s="20">
        <v>0</v>
      </c>
      <c r="AM425" s="20">
        <f t="shared" si="108"/>
        <v>403</v>
      </c>
      <c r="AN425" s="20">
        <f t="shared" si="109"/>
        <v>-10478000000</v>
      </c>
      <c r="AO425" s="20"/>
    </row>
    <row r="426" spans="18:46">
      <c r="R426" s="97" t="s">
        <v>5467</v>
      </c>
      <c r="S426" s="93">
        <v>12297317.81435</v>
      </c>
      <c r="U426" s="19" t="s">
        <v>5664</v>
      </c>
      <c r="V426" s="19">
        <v>8497</v>
      </c>
      <c r="W426" s="115">
        <v>1739.5531579999999</v>
      </c>
      <c r="X426" s="115">
        <f t="shared" si="105"/>
        <v>14780983.183526</v>
      </c>
      <c r="Y426" s="259" t="s">
        <v>5097</v>
      </c>
      <c r="AI426" s="239">
        <v>135</v>
      </c>
      <c r="AJ426" s="239" t="s">
        <v>5323</v>
      </c>
      <c r="AK426" s="230">
        <v>-26000000</v>
      </c>
      <c r="AL426" s="239">
        <v>1</v>
      </c>
      <c r="AM426" s="239">
        <f t="shared" si="108"/>
        <v>403</v>
      </c>
      <c r="AN426" s="239">
        <f t="shared" si="109"/>
        <v>-10478000000</v>
      </c>
      <c r="AO426" s="239"/>
    </row>
    <row r="427" spans="18:46" ht="30">
      <c r="R427" s="97" t="s">
        <v>5468</v>
      </c>
      <c r="S427" s="93">
        <v>8959643.8508579992</v>
      </c>
      <c r="U427" s="277" t="s">
        <v>5667</v>
      </c>
      <c r="V427" s="277">
        <v>163820</v>
      </c>
      <c r="W427" s="88">
        <v>1588.685326</v>
      </c>
      <c r="X427" s="88">
        <f t="shared" si="105"/>
        <v>260258430.10532001</v>
      </c>
      <c r="Y427" s="287" t="s">
        <v>5669</v>
      </c>
      <c r="AI427" s="20">
        <v>136</v>
      </c>
      <c r="AJ427" s="20" t="s">
        <v>5327</v>
      </c>
      <c r="AK427" s="115">
        <v>-81800000</v>
      </c>
      <c r="AL427" s="20">
        <v>0</v>
      </c>
      <c r="AM427" s="20">
        <f t="shared" si="108"/>
        <v>402</v>
      </c>
      <c r="AN427" s="20">
        <f t="shared" si="109"/>
        <v>-32883600000</v>
      </c>
      <c r="AO427" s="20"/>
    </row>
    <row r="428" spans="18:46">
      <c r="R428" s="97" t="s">
        <v>5483</v>
      </c>
      <c r="S428" s="93">
        <v>15154095.839328</v>
      </c>
      <c r="U428" s="19" t="s">
        <v>5667</v>
      </c>
      <c r="V428" s="19">
        <v>11207</v>
      </c>
      <c r="W428" s="115">
        <v>1588.685326</v>
      </c>
      <c r="X428" s="115">
        <f t="shared" si="105"/>
        <v>17804396.448481999</v>
      </c>
      <c r="Y428" s="259" t="s">
        <v>5097</v>
      </c>
      <c r="Z428" t="s">
        <v>25</v>
      </c>
      <c r="AA428" t="s">
        <v>25</v>
      </c>
      <c r="AI428" s="239">
        <v>137</v>
      </c>
      <c r="AJ428" s="239" t="s">
        <v>5327</v>
      </c>
      <c r="AK428" s="230">
        <v>-110000000</v>
      </c>
      <c r="AL428" s="239">
        <v>1</v>
      </c>
      <c r="AM428" s="239">
        <f t="shared" si="108"/>
        <v>402</v>
      </c>
      <c r="AN428" s="239">
        <f t="shared" si="109"/>
        <v>-44220000000</v>
      </c>
      <c r="AO428" s="239"/>
    </row>
    <row r="429" spans="18:46">
      <c r="R429" s="97" t="s">
        <v>5484</v>
      </c>
      <c r="S429" s="93">
        <v>50725508.571864001</v>
      </c>
      <c r="T429" t="s">
        <v>25</v>
      </c>
      <c r="U429" s="19" t="s">
        <v>5670</v>
      </c>
      <c r="V429" s="19">
        <v>7198</v>
      </c>
      <c r="W429" s="115">
        <v>1602.9918909999999</v>
      </c>
      <c r="X429" s="115">
        <f t="shared" si="105"/>
        <v>11538335.631417999</v>
      </c>
      <c r="Y429" s="259" t="s">
        <v>5097</v>
      </c>
      <c r="Z429" t="s">
        <v>25</v>
      </c>
      <c r="AI429" s="20">
        <v>138</v>
      </c>
      <c r="AJ429" s="20" t="s">
        <v>5328</v>
      </c>
      <c r="AK429" s="115">
        <v>-34000000</v>
      </c>
      <c r="AL429" s="20">
        <v>0</v>
      </c>
      <c r="AM429" s="20">
        <f t="shared" si="108"/>
        <v>401</v>
      </c>
      <c r="AN429" s="20">
        <f t="shared" si="109"/>
        <v>-13634000000</v>
      </c>
      <c r="AO429" s="20"/>
    </row>
    <row r="430" spans="18:46">
      <c r="R430" s="97" t="s">
        <v>5491</v>
      </c>
      <c r="S430" s="93">
        <v>2281961.458596</v>
      </c>
      <c r="U430" s="19" t="s">
        <v>5671</v>
      </c>
      <c r="V430" s="19">
        <v>7804</v>
      </c>
      <c r="W430" s="115">
        <v>1592.7111440000001</v>
      </c>
      <c r="X430" s="115">
        <f t="shared" si="105"/>
        <v>12429517.767776001</v>
      </c>
      <c r="Y430" s="259" t="s">
        <v>5097</v>
      </c>
      <c r="AA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5492</v>
      </c>
      <c r="S431" s="93">
        <v>10998285</v>
      </c>
      <c r="U431" s="19" t="s">
        <v>5679</v>
      </c>
      <c r="V431" s="19">
        <v>2827</v>
      </c>
      <c r="W431" s="115">
        <v>1779.6874809999999</v>
      </c>
      <c r="X431" s="115">
        <f t="shared" si="105"/>
        <v>5031176.5087869996</v>
      </c>
      <c r="Y431" s="259" t="s">
        <v>5097</v>
      </c>
      <c r="Z431" t="s">
        <v>25</v>
      </c>
      <c r="AI431" s="20">
        <v>140</v>
      </c>
      <c r="AJ431" s="20" t="s">
        <v>5341</v>
      </c>
      <c r="AK431" s="115">
        <v>1000000</v>
      </c>
      <c r="AL431" s="20">
        <v>0</v>
      </c>
      <c r="AM431" s="20">
        <f t="shared" si="110"/>
        <v>396</v>
      </c>
      <c r="AN431" s="20">
        <f t="shared" si="111"/>
        <v>396000000</v>
      </c>
      <c r="AO431" s="20"/>
    </row>
    <row r="432" spans="18:46">
      <c r="R432" s="97" t="s">
        <v>5494</v>
      </c>
      <c r="S432" s="93">
        <v>983018.96187300002</v>
      </c>
      <c r="U432" s="19" t="s">
        <v>5681</v>
      </c>
      <c r="V432" s="19">
        <v>3385</v>
      </c>
      <c r="W432" s="115">
        <v>2015.5993820000001</v>
      </c>
      <c r="X432" s="115">
        <f t="shared" si="105"/>
        <v>6822803.9080700008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5497</v>
      </c>
      <c r="S433" s="93">
        <v>17049271.032000002</v>
      </c>
      <c r="U433" s="19" t="s">
        <v>5685</v>
      </c>
      <c r="V433" s="19">
        <v>158</v>
      </c>
      <c r="W433" s="115">
        <v>2094.2388179999998</v>
      </c>
      <c r="X433" s="115">
        <f t="shared" si="105"/>
        <v>330889.73324399994</v>
      </c>
      <c r="Y433" s="259" t="s">
        <v>5097</v>
      </c>
      <c r="Z433" t="s">
        <v>25</v>
      </c>
      <c r="AI433" s="20">
        <v>142</v>
      </c>
      <c r="AJ433" s="20" t="s">
        <v>5347</v>
      </c>
      <c r="AK433" s="115">
        <v>400000</v>
      </c>
      <c r="AL433" s="20">
        <v>0</v>
      </c>
      <c r="AM433" s="20">
        <f t="shared" si="110"/>
        <v>392</v>
      </c>
      <c r="AN433" s="20">
        <f t="shared" si="111"/>
        <v>156800000</v>
      </c>
      <c r="AO433" s="20"/>
    </row>
    <row r="434" spans="18:46">
      <c r="R434" s="97" t="s">
        <v>4209</v>
      </c>
      <c r="S434" s="93">
        <v>6829998</v>
      </c>
      <c r="U434" s="19" t="s">
        <v>963</v>
      </c>
      <c r="V434" s="19">
        <v>5033</v>
      </c>
      <c r="W434" s="115">
        <v>2229.4976999999999</v>
      </c>
      <c r="X434" s="115">
        <f t="shared" si="105"/>
        <v>11221061.924099999</v>
      </c>
      <c r="Y434" s="259" t="s">
        <v>5690</v>
      </c>
      <c r="AA434" t="s">
        <v>25</v>
      </c>
      <c r="AI434" s="147">
        <v>143</v>
      </c>
      <c r="AJ434" s="147" t="s">
        <v>5347</v>
      </c>
      <c r="AK434" s="186">
        <v>400000</v>
      </c>
      <c r="AL434" s="147">
        <v>35</v>
      </c>
      <c r="AM434" s="147">
        <f t="shared" si="110"/>
        <v>392</v>
      </c>
      <c r="AN434" s="147">
        <f t="shared" si="111"/>
        <v>156800000</v>
      </c>
      <c r="AO434" s="147"/>
    </row>
    <row r="435" spans="18:46">
      <c r="R435" s="97" t="s">
        <v>5517</v>
      </c>
      <c r="S435" s="93">
        <v>6982608.8207999999</v>
      </c>
      <c r="U435" s="19" t="s">
        <v>5694</v>
      </c>
      <c r="V435" s="19">
        <v>2870</v>
      </c>
      <c r="W435" s="115">
        <v>2303.2467459999998</v>
      </c>
      <c r="X435" s="115">
        <f t="shared" si="105"/>
        <v>6610318.1610199995</v>
      </c>
      <c r="Y435" s="259" t="s">
        <v>5097</v>
      </c>
      <c r="AI435" s="20">
        <v>144</v>
      </c>
      <c r="AJ435" s="20" t="s">
        <v>5381</v>
      </c>
      <c r="AK435" s="115">
        <v>3000000</v>
      </c>
      <c r="AL435" s="20">
        <v>0</v>
      </c>
      <c r="AM435" s="20">
        <f t="shared" si="110"/>
        <v>357</v>
      </c>
      <c r="AN435" s="20">
        <f t="shared" si="111"/>
        <v>1071000000</v>
      </c>
      <c r="AO435" s="20"/>
      <c r="AR435" t="s">
        <v>25</v>
      </c>
    </row>
    <row r="436" spans="18:46">
      <c r="R436" s="97" t="s">
        <v>5523</v>
      </c>
      <c r="S436" s="93">
        <v>7510131.0216000006</v>
      </c>
      <c r="U436" s="19" t="s">
        <v>5695</v>
      </c>
      <c r="V436" s="19">
        <v>307</v>
      </c>
      <c r="W436" s="115">
        <v>2315.0266360000001</v>
      </c>
      <c r="X436" s="115">
        <f t="shared" si="105"/>
        <v>710713.17725199996</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ht="30">
      <c r="R437" s="97" t="s">
        <v>5532</v>
      </c>
      <c r="S437" s="93">
        <v>7278025.5327000003</v>
      </c>
      <c r="U437" s="19" t="s">
        <v>5697</v>
      </c>
      <c r="V437" s="19">
        <v>35</v>
      </c>
      <c r="W437" s="115">
        <v>2315</v>
      </c>
      <c r="X437" s="115">
        <f t="shared" si="105"/>
        <v>81025</v>
      </c>
      <c r="Y437" s="259" t="s">
        <v>5699</v>
      </c>
      <c r="Z437" s="112"/>
      <c r="AI437" s="147">
        <v>146</v>
      </c>
      <c r="AJ437" s="147" t="s">
        <v>5280</v>
      </c>
      <c r="AK437" s="186">
        <v>-8644090</v>
      </c>
      <c r="AL437" s="147">
        <v>0</v>
      </c>
      <c r="AM437" s="147">
        <f t="shared" si="112"/>
        <v>338</v>
      </c>
      <c r="AN437" s="147">
        <f t="shared" si="113"/>
        <v>-2921702420</v>
      </c>
      <c r="AO437" s="147" t="s">
        <v>4726</v>
      </c>
    </row>
    <row r="438" spans="18:46">
      <c r="R438" s="97" t="s">
        <v>5537</v>
      </c>
      <c r="S438" s="93">
        <v>195059.35799999998</v>
      </c>
      <c r="T438" t="s">
        <v>25</v>
      </c>
      <c r="U438" s="19" t="s">
        <v>5700</v>
      </c>
      <c r="V438" s="19">
        <v>94</v>
      </c>
      <c r="W438" s="115">
        <v>2337.1980119999998</v>
      </c>
      <c r="X438" s="115">
        <f t="shared" si="105"/>
        <v>219696.613128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5539</v>
      </c>
      <c r="S439" s="93">
        <v>862577.83200000005</v>
      </c>
      <c r="U439" s="19" t="s">
        <v>5701</v>
      </c>
      <c r="V439" s="19">
        <v>2534</v>
      </c>
      <c r="W439" s="115">
        <v>2381.7965300000001</v>
      </c>
      <c r="X439" s="115">
        <f t="shared" si="105"/>
        <v>6035472.4070199998</v>
      </c>
      <c r="Y439" s="259" t="s">
        <v>5097</v>
      </c>
      <c r="AI439" s="20">
        <v>148</v>
      </c>
      <c r="AJ439" s="20" t="s">
        <v>5403</v>
      </c>
      <c r="AK439" s="115">
        <v>35000000</v>
      </c>
      <c r="AL439" s="20">
        <v>15</v>
      </c>
      <c r="AM439" s="20">
        <f t="shared" si="112"/>
        <v>337</v>
      </c>
      <c r="AN439" s="20">
        <f t="shared" si="113"/>
        <v>11795000000</v>
      </c>
      <c r="AO439" s="20"/>
      <c r="AT439" t="s">
        <v>25</v>
      </c>
    </row>
    <row r="440" spans="18:46">
      <c r="R440" s="97" t="s">
        <v>5540</v>
      </c>
      <c r="S440" s="93">
        <v>920308.446</v>
      </c>
      <c r="U440" s="19" t="s">
        <v>5702</v>
      </c>
      <c r="V440" s="19">
        <v>424</v>
      </c>
      <c r="W440" s="115">
        <v>2321.9017680000002</v>
      </c>
      <c r="X440" s="115">
        <f t="shared" si="105"/>
        <v>984486.34963200008</v>
      </c>
      <c r="Y440" s="259" t="s">
        <v>5097</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5542</v>
      </c>
      <c r="S441" s="93">
        <v>4635809.8416840006</v>
      </c>
      <c r="U441" s="187" t="s">
        <v>5703</v>
      </c>
      <c r="V441" s="187">
        <v>-32</v>
      </c>
      <c r="W441" s="186">
        <v>2221.2123710000001</v>
      </c>
      <c r="X441" s="186">
        <f t="shared" si="105"/>
        <v>-71078.795872000002</v>
      </c>
      <c r="Y441" s="258" t="s">
        <v>5706</v>
      </c>
      <c r="AI441" s="20">
        <v>150</v>
      </c>
      <c r="AJ441" s="20" t="s">
        <v>5422</v>
      </c>
      <c r="AK441" s="115">
        <v>1600000</v>
      </c>
      <c r="AL441" s="20">
        <v>1</v>
      </c>
      <c r="AM441" s="20">
        <f t="shared" si="114"/>
        <v>322</v>
      </c>
      <c r="AN441" s="20">
        <f t="shared" si="115"/>
        <v>515200000</v>
      </c>
      <c r="AO441" s="20"/>
    </row>
    <row r="442" spans="18:46">
      <c r="R442" s="97" t="s">
        <v>5570</v>
      </c>
      <c r="S442" s="93">
        <v>288892.40000000002</v>
      </c>
      <c r="U442" s="19" t="s">
        <v>5703</v>
      </c>
      <c r="V442" s="19">
        <v>157</v>
      </c>
      <c r="W442" s="115">
        <v>2221.2123710000001</v>
      </c>
      <c r="X442" s="115">
        <f t="shared" si="105"/>
        <v>348730.34224700002</v>
      </c>
      <c r="Y442" s="259" t="s">
        <v>5707</v>
      </c>
      <c r="AI442" s="147">
        <v>151</v>
      </c>
      <c r="AJ442" s="147" t="s">
        <v>5425</v>
      </c>
      <c r="AK442" s="186">
        <v>600000</v>
      </c>
      <c r="AL442" s="147">
        <v>0</v>
      </c>
      <c r="AM442" s="147">
        <f t="shared" si="114"/>
        <v>321</v>
      </c>
      <c r="AN442" s="147">
        <f t="shared" si="115"/>
        <v>192600000</v>
      </c>
      <c r="AO442" s="147" t="s">
        <v>5427</v>
      </c>
    </row>
    <row r="443" spans="18:46">
      <c r="R443" s="97" t="s">
        <v>5571</v>
      </c>
      <c r="S443" s="93">
        <v>58508002.009000003</v>
      </c>
      <c r="T443" t="s">
        <v>25</v>
      </c>
      <c r="U443" s="19" t="s">
        <v>5703</v>
      </c>
      <c r="V443" s="19">
        <v>965</v>
      </c>
      <c r="W443" s="115">
        <v>2221.2123710000001</v>
      </c>
      <c r="X443" s="115">
        <f t="shared" si="105"/>
        <v>2143469.938015</v>
      </c>
      <c r="Y443" s="259" t="s">
        <v>5097</v>
      </c>
      <c r="AI443" s="20">
        <v>152</v>
      </c>
      <c r="AJ443" s="20" t="s">
        <v>5425</v>
      </c>
      <c r="AK443" s="115">
        <v>600000</v>
      </c>
      <c r="AL443" s="20">
        <v>9</v>
      </c>
      <c r="AM443" s="20">
        <f>AL443+AM444</f>
        <v>321</v>
      </c>
      <c r="AN443" s="20">
        <f t="shared" si="115"/>
        <v>192600000</v>
      </c>
      <c r="AO443" s="20" t="s">
        <v>5427</v>
      </c>
    </row>
    <row r="444" spans="18:46">
      <c r="R444" s="97" t="s">
        <v>5573</v>
      </c>
      <c r="S444" s="93">
        <v>2245515.5410799999</v>
      </c>
      <c r="U444" s="187" t="s">
        <v>5709</v>
      </c>
      <c r="V444" s="187">
        <v>596</v>
      </c>
      <c r="W444" s="186">
        <v>2180.6765719999999</v>
      </c>
      <c r="X444" s="186">
        <f t="shared" si="105"/>
        <v>1299683.236912</v>
      </c>
      <c r="Y444" s="258" t="s">
        <v>1069</v>
      </c>
      <c r="Z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5573</v>
      </c>
      <c r="S445" s="93">
        <v>18404699.3442</v>
      </c>
      <c r="U445" s="19" t="s">
        <v>5713</v>
      </c>
      <c r="V445" s="19">
        <v>1355</v>
      </c>
      <c r="W445" s="115">
        <v>2277.0926330000002</v>
      </c>
      <c r="X445" s="115">
        <f t="shared" si="105"/>
        <v>3085460.5177150001</v>
      </c>
      <c r="Y445" s="259" t="s">
        <v>5097</v>
      </c>
      <c r="AI445" s="20">
        <v>154</v>
      </c>
      <c r="AJ445" s="20" t="s">
        <v>5475</v>
      </c>
      <c r="AK445" s="115">
        <v>-46183500</v>
      </c>
      <c r="AL445" s="20">
        <v>0</v>
      </c>
      <c r="AM445" s="20">
        <f t="shared" si="116"/>
        <v>289</v>
      </c>
      <c r="AN445" s="20">
        <f t="shared" si="117"/>
        <v>-13347031500</v>
      </c>
      <c r="AO445" s="20" t="s">
        <v>4848</v>
      </c>
    </row>
    <row r="446" spans="18:46">
      <c r="R446" s="97" t="s">
        <v>5576</v>
      </c>
      <c r="S446" s="93">
        <v>48684800</v>
      </c>
      <c r="U446" s="19" t="s">
        <v>5714</v>
      </c>
      <c r="V446" s="19">
        <v>3742</v>
      </c>
      <c r="W446" s="115">
        <v>2207.7650429999999</v>
      </c>
      <c r="X446" s="115">
        <f t="shared" si="105"/>
        <v>8261456.790906</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5578</v>
      </c>
      <c r="S447" s="93">
        <v>2264658.5922190002</v>
      </c>
      <c r="U447" s="19" t="s">
        <v>5715</v>
      </c>
      <c r="V447" s="19">
        <v>3216</v>
      </c>
      <c r="W447" s="115">
        <v>2043.648557</v>
      </c>
      <c r="X447" s="115">
        <f t="shared" si="105"/>
        <v>6572373.7593120001</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5581</v>
      </c>
      <c r="S448" s="93">
        <v>22877413.789960001</v>
      </c>
      <c r="U448" s="187" t="s">
        <v>5717</v>
      </c>
      <c r="V448" s="187">
        <v>42393</v>
      </c>
      <c r="W448" s="186">
        <v>2124.4852740000001</v>
      </c>
      <c r="X448" s="186">
        <f t="shared" si="105"/>
        <v>90063304.22068201</v>
      </c>
      <c r="Y448" s="258" t="s">
        <v>5718</v>
      </c>
      <c r="Z448" t="s">
        <v>25</v>
      </c>
      <c r="AI448" s="147">
        <v>157</v>
      </c>
      <c r="AJ448" s="147" t="s">
        <v>5479</v>
      </c>
      <c r="AK448" s="186">
        <v>60000</v>
      </c>
      <c r="AL448" s="147">
        <v>5</v>
      </c>
      <c r="AM448" s="147">
        <f t="shared" si="118"/>
        <v>287</v>
      </c>
      <c r="AN448" s="147">
        <f t="shared" si="119"/>
        <v>17220000</v>
      </c>
      <c r="AO448" s="147"/>
    </row>
    <row r="449" spans="18:45">
      <c r="R449" s="97" t="s">
        <v>5582</v>
      </c>
      <c r="S449" s="93">
        <v>2362539.4373280001</v>
      </c>
      <c r="U449" s="19" t="s">
        <v>5719</v>
      </c>
      <c r="V449" s="19">
        <v>1307</v>
      </c>
      <c r="W449" s="115">
        <v>2213.652313</v>
      </c>
      <c r="X449" s="115">
        <f t="shared" si="105"/>
        <v>2893243.5730909999</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5583</v>
      </c>
      <c r="S450" s="93">
        <v>16042676.656608</v>
      </c>
      <c r="U450" s="19" t="s">
        <v>5720</v>
      </c>
      <c r="V450" s="19">
        <v>44079</v>
      </c>
      <c r="W450" s="115">
        <v>2155.0411519999998</v>
      </c>
      <c r="X450" s="115">
        <f t="shared" si="105"/>
        <v>94992058.939007998</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5586</v>
      </c>
      <c r="S451" s="93">
        <v>18403291.448284</v>
      </c>
      <c r="U451" s="19" t="s">
        <v>5725</v>
      </c>
      <c r="V451" s="19">
        <v>131</v>
      </c>
      <c r="W451" s="115">
        <v>2099.4040150000001</v>
      </c>
      <c r="X451" s="115">
        <f t="shared" si="105"/>
        <v>275021.925965</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5587</v>
      </c>
      <c r="S452" s="93">
        <v>10561447.246918</v>
      </c>
      <c r="U452" s="19" t="s">
        <v>5730</v>
      </c>
      <c r="V452" s="19">
        <v>162</v>
      </c>
      <c r="W452" s="115">
        <v>2021.3081500000001</v>
      </c>
      <c r="X452" s="115">
        <f t="shared" si="105"/>
        <v>327451.9203</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5588</v>
      </c>
      <c r="S453" s="93">
        <v>1226811.9176660001</v>
      </c>
      <c r="U453" s="19" t="s">
        <v>5740</v>
      </c>
      <c r="V453" s="19">
        <v>131</v>
      </c>
      <c r="W453" s="115">
        <v>1985.358328</v>
      </c>
      <c r="X453" s="115">
        <f t="shared" si="105"/>
        <v>260081.94096800001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5593</v>
      </c>
      <c r="S454" s="93">
        <v>39373959.190266006</v>
      </c>
      <c r="U454" s="19" t="s">
        <v>5748</v>
      </c>
      <c r="V454" s="19">
        <v>1449</v>
      </c>
      <c r="W454" s="115">
        <v>2007.787806</v>
      </c>
      <c r="X454" s="115">
        <f t="shared" si="105"/>
        <v>2909284.5308940001</v>
      </c>
      <c r="Y454" s="259" t="s">
        <v>5097</v>
      </c>
      <c r="AA454" t="s">
        <v>25</v>
      </c>
      <c r="AI454" s="147">
        <v>163</v>
      </c>
      <c r="AJ454" s="147" t="s">
        <v>5558</v>
      </c>
      <c r="AK454" s="186">
        <v>150000</v>
      </c>
      <c r="AL454" s="147">
        <v>5</v>
      </c>
      <c r="AM454" s="147">
        <f t="shared" si="118"/>
        <v>238</v>
      </c>
      <c r="AN454" s="147">
        <f t="shared" si="119"/>
        <v>35700000</v>
      </c>
      <c r="AO454" s="147"/>
    </row>
    <row r="455" spans="18:45">
      <c r="R455" s="97" t="s">
        <v>5594</v>
      </c>
      <c r="S455" s="93">
        <v>27703487.063980002</v>
      </c>
      <c r="U455" s="19" t="s">
        <v>5749</v>
      </c>
      <c r="V455" s="19">
        <v>19028</v>
      </c>
      <c r="W455" s="115">
        <v>1982.5102529999999</v>
      </c>
      <c r="X455" s="115">
        <f t="shared" si="105"/>
        <v>37723205.094084002</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4182</v>
      </c>
      <c r="S456" s="93">
        <v>8738896.6890719999</v>
      </c>
      <c r="U456" s="19" t="s">
        <v>5750</v>
      </c>
      <c r="V456" s="19">
        <v>848</v>
      </c>
      <c r="W456" s="115">
        <v>1768.97966</v>
      </c>
      <c r="X456" s="115">
        <f t="shared" si="105"/>
        <v>1500094.75168</v>
      </c>
      <c r="Y456" s="259" t="s">
        <v>5097</v>
      </c>
      <c r="AI456" s="20">
        <v>165</v>
      </c>
      <c r="AJ456" s="20" t="s">
        <v>5562</v>
      </c>
      <c r="AK456" s="115">
        <v>200000</v>
      </c>
      <c r="AL456" s="20">
        <v>29</v>
      </c>
      <c r="AM456" s="20">
        <f t="shared" si="118"/>
        <v>231</v>
      </c>
      <c r="AN456" s="20">
        <f t="shared" si="119"/>
        <v>46200000</v>
      </c>
      <c r="AO456" s="20"/>
    </row>
    <row r="457" spans="18:45">
      <c r="R457" s="97" t="s">
        <v>5596</v>
      </c>
      <c r="S457" s="93">
        <v>348201.66738</v>
      </c>
      <c r="U457" s="19" t="s">
        <v>5751</v>
      </c>
      <c r="V457" s="19">
        <v>3824</v>
      </c>
      <c r="W457" s="115">
        <v>1890.8547169999999</v>
      </c>
      <c r="X457" s="115">
        <f t="shared" si="105"/>
        <v>7230628.4378079996</v>
      </c>
      <c r="Y457" s="259" t="s">
        <v>5097</v>
      </c>
      <c r="AI457" s="20">
        <v>166</v>
      </c>
      <c r="AJ457" s="20" t="s">
        <v>5597</v>
      </c>
      <c r="AK457" s="115">
        <v>4200000</v>
      </c>
      <c r="AL457" s="20">
        <v>0</v>
      </c>
      <c r="AM457" s="20">
        <f t="shared" si="118"/>
        <v>202</v>
      </c>
      <c r="AN457" s="20">
        <f t="shared" si="119"/>
        <v>848400000</v>
      </c>
      <c r="AO457" s="20"/>
    </row>
    <row r="458" spans="18:45">
      <c r="R458" s="97" t="s">
        <v>5600</v>
      </c>
      <c r="S458" s="93">
        <v>4158090.8935679998</v>
      </c>
      <c r="U458" s="19" t="s">
        <v>5753</v>
      </c>
      <c r="V458" s="19">
        <v>14010</v>
      </c>
      <c r="W458" s="115">
        <v>2124.7244390000001</v>
      </c>
      <c r="X458" s="115">
        <f t="shared" si="105"/>
        <v>29767389.390390001</v>
      </c>
      <c r="Y458" s="259" t="s">
        <v>5097</v>
      </c>
      <c r="AI458" s="147">
        <v>167</v>
      </c>
      <c r="AJ458" s="147" t="s">
        <v>5597</v>
      </c>
      <c r="AK458" s="186">
        <v>3300000</v>
      </c>
      <c r="AL458" s="147">
        <v>11</v>
      </c>
      <c r="AM458" s="147">
        <f t="shared" si="118"/>
        <v>202</v>
      </c>
      <c r="AN458" s="147">
        <f t="shared" si="119"/>
        <v>666600000</v>
      </c>
      <c r="AO458" s="147"/>
    </row>
    <row r="459" spans="18:45">
      <c r="R459" s="97" t="s">
        <v>5597</v>
      </c>
      <c r="S459" s="93">
        <v>110770524.97879399</v>
      </c>
      <c r="U459" s="19" t="s">
        <v>5754</v>
      </c>
      <c r="V459" s="19">
        <v>73</v>
      </c>
      <c r="W459" s="115">
        <v>2076.1678900000002</v>
      </c>
      <c r="X459" s="115">
        <f t="shared" si="105"/>
        <v>151560.25597</v>
      </c>
      <c r="Y459" s="259" t="s">
        <v>5097</v>
      </c>
      <c r="AB459" t="s">
        <v>25</v>
      </c>
      <c r="AI459" s="147">
        <v>168</v>
      </c>
      <c r="AJ459" s="147" t="s">
        <v>5621</v>
      </c>
      <c r="AK459" s="186">
        <v>-1500000</v>
      </c>
      <c r="AL459" s="147">
        <v>42</v>
      </c>
      <c r="AM459" s="147">
        <f t="shared" si="118"/>
        <v>191</v>
      </c>
      <c r="AN459" s="147">
        <f t="shared" si="119"/>
        <v>-286500000</v>
      </c>
      <c r="AO459" s="147"/>
    </row>
    <row r="460" spans="18:45">
      <c r="R460" s="97" t="s">
        <v>5600</v>
      </c>
      <c r="S460" s="93">
        <v>17900000</v>
      </c>
      <c r="U460" s="19" t="s">
        <v>5756</v>
      </c>
      <c r="V460" s="19">
        <v>236</v>
      </c>
      <c r="W460" s="115">
        <v>2039.4867830000001</v>
      </c>
      <c r="X460" s="115">
        <f t="shared" si="105"/>
        <v>481318.88078800001</v>
      </c>
      <c r="Y460" s="259" t="s">
        <v>5097</v>
      </c>
      <c r="AI460" s="20">
        <v>169</v>
      </c>
      <c r="AJ460" s="20" t="s">
        <v>5667</v>
      </c>
      <c r="AK460" s="115">
        <v>260000</v>
      </c>
      <c r="AL460" s="20">
        <v>22</v>
      </c>
      <c r="AM460" s="20">
        <f t="shared" si="118"/>
        <v>149</v>
      </c>
      <c r="AN460" s="20">
        <f t="shared" si="119"/>
        <v>38740000</v>
      </c>
      <c r="AO460" s="20"/>
    </row>
    <row r="461" spans="18:45">
      <c r="R461" s="97" t="s">
        <v>5612</v>
      </c>
      <c r="S461" s="93">
        <v>12114824.927374</v>
      </c>
      <c r="U461" s="19" t="s">
        <v>5759</v>
      </c>
      <c r="V461" s="19">
        <v>75</v>
      </c>
      <c r="W461" s="115">
        <v>1950.3675760000001</v>
      </c>
      <c r="X461" s="115">
        <f t="shared" si="105"/>
        <v>146277.56820000001</v>
      </c>
      <c r="Y461" s="259" t="s">
        <v>5097</v>
      </c>
      <c r="AI461" s="20">
        <v>170</v>
      </c>
      <c r="AJ461" s="20" t="s">
        <v>5695</v>
      </c>
      <c r="AK461" s="115">
        <v>20000</v>
      </c>
      <c r="AL461" s="20">
        <v>0</v>
      </c>
      <c r="AM461" s="20">
        <f t="shared" si="118"/>
        <v>127</v>
      </c>
      <c r="AN461" s="20">
        <f t="shared" si="119"/>
        <v>2540000</v>
      </c>
      <c r="AO461" s="20"/>
    </row>
    <row r="462" spans="18:45">
      <c r="R462" s="97" t="s">
        <v>5615</v>
      </c>
      <c r="S462" s="93">
        <v>6684147.0064600008</v>
      </c>
      <c r="U462" s="19" t="s">
        <v>5771</v>
      </c>
      <c r="V462" s="19">
        <v>232</v>
      </c>
      <c r="W462" s="115">
        <v>1830.5750069999999</v>
      </c>
      <c r="X462" s="115">
        <f t="shared" si="105"/>
        <v>424693.40162399999</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5619</v>
      </c>
      <c r="S463" s="93">
        <v>1826535.2307560001</v>
      </c>
      <c r="U463" s="19" t="s">
        <v>5774</v>
      </c>
      <c r="V463" s="19">
        <v>308</v>
      </c>
      <c r="W463" s="115">
        <v>1812.728578</v>
      </c>
      <c r="X463" s="115">
        <f t="shared" si="105"/>
        <v>558320.40202399995</v>
      </c>
      <c r="Y463" s="259" t="s">
        <v>5097</v>
      </c>
      <c r="Z463" t="s">
        <v>25</v>
      </c>
      <c r="AI463" s="147">
        <v>172</v>
      </c>
      <c r="AJ463" s="147" t="s">
        <v>5703</v>
      </c>
      <c r="AK463" s="186">
        <v>70000</v>
      </c>
      <c r="AL463" s="147">
        <v>0</v>
      </c>
      <c r="AM463" s="147">
        <f t="shared" si="120"/>
        <v>120</v>
      </c>
      <c r="AN463" s="147">
        <f t="shared" si="121"/>
        <v>8400000</v>
      </c>
      <c r="AO463" s="147"/>
    </row>
    <row r="464" spans="18:45">
      <c r="R464" s="97" t="s">
        <v>5621</v>
      </c>
      <c r="S464" s="93">
        <v>3577366.94</v>
      </c>
      <c r="U464" s="19" t="s">
        <v>5776</v>
      </c>
      <c r="V464" s="19">
        <v>106</v>
      </c>
      <c r="W464" s="115">
        <v>1958.8888869</v>
      </c>
      <c r="X464" s="115">
        <f t="shared" si="105"/>
        <v>207642.22201140001</v>
      </c>
      <c r="Y464" s="259" t="s">
        <v>5097</v>
      </c>
      <c r="AI464" s="20">
        <v>173</v>
      </c>
      <c r="AJ464" s="20" t="s">
        <v>5703</v>
      </c>
      <c r="AK464" s="115">
        <v>70000</v>
      </c>
      <c r="AL464" s="20">
        <v>1</v>
      </c>
      <c r="AM464" s="20">
        <f t="shared" si="120"/>
        <v>120</v>
      </c>
      <c r="AN464" s="20">
        <f t="shared" si="121"/>
        <v>8400000</v>
      </c>
      <c r="AO464" s="20"/>
      <c r="AS464" t="s">
        <v>25</v>
      </c>
    </row>
    <row r="465" spans="18:46">
      <c r="R465" s="97" t="s">
        <v>5624</v>
      </c>
      <c r="S465" s="93">
        <v>21239029.173567999</v>
      </c>
      <c r="U465" s="19" t="s">
        <v>5798</v>
      </c>
      <c r="V465" s="19">
        <v>17050</v>
      </c>
      <c r="W465" s="115">
        <v>1984.311475</v>
      </c>
      <c r="X465" s="115">
        <f t="shared" si="105"/>
        <v>33832510.64875</v>
      </c>
      <c r="Y465" s="259" t="s">
        <v>5800</v>
      </c>
      <c r="Z465" t="s">
        <v>25</v>
      </c>
      <c r="AB465" t="s">
        <v>25</v>
      </c>
      <c r="AI465" s="20">
        <v>174</v>
      </c>
      <c r="AJ465" s="20" t="s">
        <v>5709</v>
      </c>
      <c r="AK465" s="115">
        <v>330000</v>
      </c>
      <c r="AL465" s="20">
        <v>0</v>
      </c>
      <c r="AM465" s="20">
        <f t="shared" si="120"/>
        <v>119</v>
      </c>
      <c r="AN465" s="20">
        <f t="shared" si="121"/>
        <v>39270000</v>
      </c>
      <c r="AO465" s="20"/>
      <c r="AS465" t="s">
        <v>25</v>
      </c>
    </row>
    <row r="466" spans="18:46">
      <c r="R466" s="97" t="s">
        <v>5629</v>
      </c>
      <c r="S466" s="93">
        <v>242957252.40163299</v>
      </c>
      <c r="U466" s="19" t="s">
        <v>5798</v>
      </c>
      <c r="V466" s="19">
        <v>17050</v>
      </c>
      <c r="W466" s="115">
        <v>1984.311475</v>
      </c>
      <c r="X466" s="115">
        <f t="shared" si="105"/>
        <v>33832510.64875</v>
      </c>
      <c r="Y466" s="259" t="s">
        <v>5801</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5630</v>
      </c>
      <c r="S467" s="93">
        <v>7357181.2750800001</v>
      </c>
      <c r="U467" s="19" t="s">
        <v>5803</v>
      </c>
      <c r="V467" s="19">
        <v>9659</v>
      </c>
      <c r="W467" s="115">
        <v>2073.8685089999999</v>
      </c>
      <c r="X467" s="115">
        <f t="shared" si="105"/>
        <v>20031495.928431001</v>
      </c>
      <c r="Y467" s="259" t="s">
        <v>5804</v>
      </c>
      <c r="Z467" t="s">
        <v>25</v>
      </c>
      <c r="AI467" s="147">
        <v>176</v>
      </c>
      <c r="AJ467" s="147" t="s">
        <v>5717</v>
      </c>
      <c r="AK467" s="186">
        <v>90000000</v>
      </c>
      <c r="AL467" s="147">
        <v>16</v>
      </c>
      <c r="AM467" s="147">
        <f t="shared" si="122"/>
        <v>109</v>
      </c>
      <c r="AN467" s="147">
        <f t="shared" si="123"/>
        <v>9810000000</v>
      </c>
      <c r="AO467" s="147"/>
      <c r="AT467" t="s">
        <v>25</v>
      </c>
    </row>
    <row r="468" spans="18:46">
      <c r="R468" s="97" t="s">
        <v>5634</v>
      </c>
      <c r="S468" s="93">
        <v>14951411.942400001</v>
      </c>
      <c r="U468" s="19" t="s">
        <v>5807</v>
      </c>
      <c r="V468" s="19">
        <v>323</v>
      </c>
      <c r="W468" s="115">
        <v>1975.162028</v>
      </c>
      <c r="X468" s="115">
        <f t="shared" si="105"/>
        <v>637977.33504399995</v>
      </c>
      <c r="Y468" s="259" t="s">
        <v>5097</v>
      </c>
      <c r="AI468" s="147">
        <v>177</v>
      </c>
      <c r="AJ468" s="147" t="s">
        <v>5738</v>
      </c>
      <c r="AK468" s="186">
        <v>-15000000</v>
      </c>
      <c r="AL468" s="147">
        <v>65</v>
      </c>
      <c r="AM468" s="147">
        <f t="shared" si="122"/>
        <v>93</v>
      </c>
      <c r="AN468" s="147">
        <f t="shared" si="123"/>
        <v>-1395000000</v>
      </c>
      <c r="AO468" s="147" t="s">
        <v>5739</v>
      </c>
    </row>
    <row r="469" spans="18:46">
      <c r="R469" s="97" t="s">
        <v>5636</v>
      </c>
      <c r="S469" s="93">
        <v>47928209.377011999</v>
      </c>
      <c r="U469" s="19" t="s">
        <v>5808</v>
      </c>
      <c r="V469" s="19">
        <v>238</v>
      </c>
      <c r="W469" s="115">
        <v>1960.303598</v>
      </c>
      <c r="X469" s="115">
        <f t="shared" si="105"/>
        <v>466552.25632400002</v>
      </c>
      <c r="Y469" s="259" t="s">
        <v>5097</v>
      </c>
      <c r="AA469" t="s">
        <v>25</v>
      </c>
      <c r="AI469" s="147">
        <v>178</v>
      </c>
      <c r="AJ469" s="147" t="s">
        <v>5798</v>
      </c>
      <c r="AK469" s="186">
        <v>33833075</v>
      </c>
      <c r="AL469" s="147">
        <v>0</v>
      </c>
      <c r="AM469" s="147">
        <f t="shared" si="122"/>
        <v>28</v>
      </c>
      <c r="AN469" s="147">
        <f t="shared" si="123"/>
        <v>947326100</v>
      </c>
      <c r="AO469" s="147" t="s">
        <v>5802</v>
      </c>
    </row>
    <row r="470" spans="18:46">
      <c r="R470" s="97" t="s">
        <v>5638</v>
      </c>
      <c r="S470" s="93">
        <v>2281595.69937</v>
      </c>
      <c r="U470" s="19" t="s">
        <v>5809</v>
      </c>
      <c r="V470" s="19">
        <v>75</v>
      </c>
      <c r="W470" s="115">
        <v>1990.893174</v>
      </c>
      <c r="X470" s="115">
        <f t="shared" si="105"/>
        <v>149316.98805000001</v>
      </c>
      <c r="Y470" s="259" t="s">
        <v>5810</v>
      </c>
      <c r="AA470" t="s">
        <v>25</v>
      </c>
      <c r="AI470" s="20">
        <v>197</v>
      </c>
      <c r="AJ470" s="20" t="s">
        <v>5798</v>
      </c>
      <c r="AK470" s="115">
        <v>20033075</v>
      </c>
      <c r="AL470" s="20">
        <v>28</v>
      </c>
      <c r="AM470" s="20">
        <f t="shared" si="122"/>
        <v>28</v>
      </c>
      <c r="AN470" s="20">
        <f t="shared" si="123"/>
        <v>560926100</v>
      </c>
      <c r="AO470" s="20" t="s">
        <v>5802</v>
      </c>
    </row>
    <row r="471" spans="18:46">
      <c r="R471" s="97" t="s">
        <v>5639</v>
      </c>
      <c r="S471" s="93">
        <v>2964916.035069</v>
      </c>
      <c r="U471" s="19" t="s">
        <v>5809</v>
      </c>
      <c r="V471" s="19">
        <v>95</v>
      </c>
      <c r="W471" s="115">
        <v>1990.893174</v>
      </c>
      <c r="X471" s="115">
        <f t="shared" si="105"/>
        <v>189134.85153000001</v>
      </c>
      <c r="Y471" s="259" t="s">
        <v>5097</v>
      </c>
      <c r="AA471" t="s">
        <v>25</v>
      </c>
      <c r="AI471" s="147">
        <v>198</v>
      </c>
      <c r="AJ471" s="147" t="s">
        <v>5814</v>
      </c>
      <c r="AK471" s="186">
        <v>-22520813.151772</v>
      </c>
      <c r="AL471" s="147">
        <v>0</v>
      </c>
      <c r="AM471" s="147">
        <f>AL471+AM487</f>
        <v>0</v>
      </c>
      <c r="AN471" s="147">
        <f t="shared" si="123"/>
        <v>0</v>
      </c>
      <c r="AO471" s="147" t="s">
        <v>5822</v>
      </c>
    </row>
    <row r="472" spans="18:46">
      <c r="R472" s="97" t="s">
        <v>5641</v>
      </c>
      <c r="S472" s="93">
        <v>6460549.4269619994</v>
      </c>
      <c r="U472" s="19" t="s">
        <v>5811</v>
      </c>
      <c r="V472" s="19">
        <v>284</v>
      </c>
      <c r="W472" s="115">
        <v>1989.045169</v>
      </c>
      <c r="X472" s="115">
        <f t="shared" si="105"/>
        <v>564888.82799599995</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5644</v>
      </c>
      <c r="S473" s="93">
        <v>5212319.8968359996</v>
      </c>
      <c r="U473" s="187" t="s">
        <v>5814</v>
      </c>
      <c r="V473" s="187">
        <v>11034</v>
      </c>
      <c r="W473" s="186">
        <v>1960.6845390000001</v>
      </c>
      <c r="X473" s="186">
        <f t="shared" si="105"/>
        <v>21634193.203326002</v>
      </c>
      <c r="Y473" s="258" t="s">
        <v>5818</v>
      </c>
      <c r="AA473" t="s">
        <v>25</v>
      </c>
      <c r="AI473" s="20">
        <v>200</v>
      </c>
      <c r="AJ473" s="20" t="s">
        <v>5814</v>
      </c>
      <c r="AK473" s="115">
        <v>50000000</v>
      </c>
      <c r="AL473" s="20">
        <v>1</v>
      </c>
      <c r="AM473" s="20">
        <f t="shared" si="124"/>
        <v>240</v>
      </c>
      <c r="AN473" s="20">
        <f t="shared" si="125"/>
        <v>12000000000</v>
      </c>
      <c r="AO473" s="20" t="s">
        <v>5824</v>
      </c>
    </row>
    <row r="474" spans="18:46" ht="30">
      <c r="R474" s="97" t="s">
        <v>5646</v>
      </c>
      <c r="S474" s="93">
        <v>4524496.4792809999</v>
      </c>
      <c r="U474" s="19" t="s">
        <v>5814</v>
      </c>
      <c r="V474" s="19">
        <v>4469</v>
      </c>
      <c r="W474" s="115">
        <v>1960.6845390000001</v>
      </c>
      <c r="X474" s="115">
        <f t="shared" si="105"/>
        <v>8762299.2047910001</v>
      </c>
      <c r="Y474" s="259" t="s">
        <v>5819</v>
      </c>
      <c r="AA474" t="s">
        <v>25</v>
      </c>
      <c r="AI474" s="20">
        <v>201</v>
      </c>
      <c r="AJ474" s="20" t="s">
        <v>5830</v>
      </c>
      <c r="AK474" s="115">
        <v>50000000</v>
      </c>
      <c r="AL474" s="20">
        <v>8</v>
      </c>
      <c r="AM474" s="20">
        <f t="shared" si="124"/>
        <v>239</v>
      </c>
      <c r="AN474" s="20">
        <f t="shared" si="125"/>
        <v>11950000000</v>
      </c>
      <c r="AO474" s="20" t="s">
        <v>5824</v>
      </c>
    </row>
    <row r="475" spans="18:46">
      <c r="R475" s="97" t="s">
        <v>5648</v>
      </c>
      <c r="S475" s="93">
        <v>22866040.240959998</v>
      </c>
      <c r="U475" s="19" t="s">
        <v>5814</v>
      </c>
      <c r="V475" s="19">
        <v>-174834</v>
      </c>
      <c r="W475" s="115">
        <v>1955.271154</v>
      </c>
      <c r="X475" s="115">
        <f t="shared" si="105"/>
        <v>-341847876.93843603</v>
      </c>
      <c r="Y475" s="259" t="s">
        <v>5820</v>
      </c>
      <c r="AI475" s="20">
        <v>202</v>
      </c>
      <c r="AJ475" s="20" t="s">
        <v>6377</v>
      </c>
      <c r="AK475" s="115">
        <v>30000000</v>
      </c>
      <c r="AL475" s="20">
        <v>2</v>
      </c>
      <c r="AM475" s="20">
        <f t="shared" si="124"/>
        <v>231</v>
      </c>
      <c r="AN475" s="20">
        <f t="shared" si="125"/>
        <v>6930000000</v>
      </c>
      <c r="AO475" s="20" t="s">
        <v>6378</v>
      </c>
    </row>
    <row r="476" spans="18:46">
      <c r="R476" s="97" t="s">
        <v>5650</v>
      </c>
      <c r="S476" s="93">
        <v>15359304.269892</v>
      </c>
      <c r="U476" s="19" t="s">
        <v>5814</v>
      </c>
      <c r="V476" s="19">
        <v>-78942</v>
      </c>
      <c r="W476" s="115">
        <v>1955.271154</v>
      </c>
      <c r="X476" s="115">
        <f t="shared" si="105"/>
        <v>-154353015.43906799</v>
      </c>
      <c r="Y476" s="259" t="s">
        <v>5821</v>
      </c>
      <c r="AA476" t="s">
        <v>25</v>
      </c>
      <c r="AI476" s="147">
        <v>203</v>
      </c>
      <c r="AJ476" s="147" t="s">
        <v>6382</v>
      </c>
      <c r="AK476" s="186">
        <v>20000000</v>
      </c>
      <c r="AL476" s="147">
        <v>29</v>
      </c>
      <c r="AM476" s="147">
        <f t="shared" si="124"/>
        <v>229</v>
      </c>
      <c r="AN476" s="147">
        <f t="shared" si="125"/>
        <v>4580000000</v>
      </c>
      <c r="AO476" s="147" t="s">
        <v>6383</v>
      </c>
    </row>
    <row r="477" spans="18:46">
      <c r="R477" s="97" t="s">
        <v>5651</v>
      </c>
      <c r="S477" s="93">
        <v>2868508.1846330003</v>
      </c>
      <c r="U477" s="187" t="s">
        <v>5814</v>
      </c>
      <c r="V477" s="187">
        <v>-11518</v>
      </c>
      <c r="W477" s="186">
        <v>1955.271154</v>
      </c>
      <c r="X477" s="186">
        <f t="shared" si="105"/>
        <v>-22520813.151772</v>
      </c>
      <c r="Y477" s="258" t="s">
        <v>5822</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5652</v>
      </c>
      <c r="S478" s="93">
        <v>17450393.011856001</v>
      </c>
      <c r="U478" s="19" t="s">
        <v>5833</v>
      </c>
      <c r="V478" s="19">
        <v>8622</v>
      </c>
      <c r="W478" s="115">
        <v>1930.4022150000001</v>
      </c>
      <c r="X478" s="115">
        <f t="shared" si="105"/>
        <v>16643927.89773</v>
      </c>
      <c r="Y478" s="259" t="s">
        <v>743</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5653</v>
      </c>
      <c r="S479" s="93">
        <v>31388943.254850004</v>
      </c>
      <c r="U479" s="19" t="s">
        <v>5834</v>
      </c>
      <c r="V479" s="19">
        <v>17384</v>
      </c>
      <c r="W479" s="115">
        <v>1918.745255</v>
      </c>
      <c r="X479" s="115">
        <f t="shared" si="105"/>
        <v>33355467.51292</v>
      </c>
      <c r="Y479" s="259" t="s">
        <v>743</v>
      </c>
      <c r="Z479" t="s">
        <v>25</v>
      </c>
      <c r="AA479" t="s">
        <v>25</v>
      </c>
      <c r="AI479" s="147">
        <v>206</v>
      </c>
      <c r="AJ479" s="147" t="s">
        <v>6628</v>
      </c>
      <c r="AK479" s="186">
        <v>5082711</v>
      </c>
      <c r="AL479" s="147">
        <v>89</v>
      </c>
      <c r="AM479" s="147">
        <f t="shared" si="126"/>
        <v>90</v>
      </c>
      <c r="AN479" s="147">
        <f t="shared" si="127"/>
        <v>457443990</v>
      </c>
      <c r="AO479" s="147" t="s">
        <v>6629</v>
      </c>
    </row>
    <row r="480" spans="18:46">
      <c r="R480" s="97" t="s">
        <v>5655</v>
      </c>
      <c r="S480" s="93">
        <v>30912095.373174001</v>
      </c>
      <c r="U480" s="19" t="s">
        <v>5846</v>
      </c>
      <c r="V480" s="19">
        <v>133</v>
      </c>
      <c r="W480" s="115">
        <v>1954.8389770000001</v>
      </c>
      <c r="X480" s="115">
        <f t="shared" si="105"/>
        <v>259993.58394100002</v>
      </c>
      <c r="Y480" s="259" t="s">
        <v>5097</v>
      </c>
      <c r="AB480" t="s">
        <v>25</v>
      </c>
      <c r="AI480" s="147">
        <v>207</v>
      </c>
      <c r="AJ480" s="147" t="s">
        <v>7061</v>
      </c>
      <c r="AK480" s="186">
        <v>7300000</v>
      </c>
      <c r="AL480" s="147">
        <v>0</v>
      </c>
      <c r="AM480" s="147">
        <f t="shared" si="126"/>
        <v>1</v>
      </c>
      <c r="AN480" s="147">
        <f t="shared" si="127"/>
        <v>7300000</v>
      </c>
      <c r="AO480" s="147" t="s">
        <v>7063</v>
      </c>
    </row>
    <row r="481" spans="18:46">
      <c r="R481" s="97" t="s">
        <v>5659</v>
      </c>
      <c r="S481" s="93">
        <v>19602926.115093999</v>
      </c>
      <c r="U481" s="19" t="s">
        <v>5847</v>
      </c>
      <c r="V481" s="19">
        <v>140</v>
      </c>
      <c r="W481" s="115">
        <v>1928.2522289999999</v>
      </c>
      <c r="X481" s="115">
        <f t="shared" si="105"/>
        <v>269955.31205999997</v>
      </c>
      <c r="Y481" s="259" t="s">
        <v>5097</v>
      </c>
      <c r="Z481" t="s">
        <v>25</v>
      </c>
      <c r="AI481" s="20">
        <v>208</v>
      </c>
      <c r="AJ481" s="20" t="s">
        <v>7061</v>
      </c>
      <c r="AK481" s="115">
        <v>7000000</v>
      </c>
      <c r="AL481" s="20">
        <v>1</v>
      </c>
      <c r="AM481" s="20">
        <f t="shared" si="126"/>
        <v>1</v>
      </c>
      <c r="AN481" s="20">
        <f t="shared" si="127"/>
        <v>7000000</v>
      </c>
      <c r="AO481" s="20" t="s">
        <v>5824</v>
      </c>
    </row>
    <row r="482" spans="18:46">
      <c r="R482" s="97" t="s">
        <v>5661</v>
      </c>
      <c r="S482" s="93">
        <v>34458590.308710001</v>
      </c>
      <c r="U482" s="19" t="s">
        <v>6379</v>
      </c>
      <c r="V482" s="19">
        <v>15839</v>
      </c>
      <c r="W482" s="115">
        <v>1893.9957079999999</v>
      </c>
      <c r="X482" s="115">
        <f t="shared" si="105"/>
        <v>29998998.019012</v>
      </c>
      <c r="Y482" s="259" t="s">
        <v>6378</v>
      </c>
      <c r="AA482" t="s">
        <v>25</v>
      </c>
      <c r="AB482" t="s">
        <v>25</v>
      </c>
      <c r="AI482" s="147"/>
      <c r="AJ482" s="147"/>
      <c r="AK482" s="186"/>
      <c r="AL482" s="147"/>
      <c r="AM482" s="147">
        <f t="shared" si="126"/>
        <v>0</v>
      </c>
      <c r="AN482" s="147">
        <f t="shared" si="127"/>
        <v>0</v>
      </c>
      <c r="AO482" s="147"/>
    </row>
    <row r="483" spans="18:46">
      <c r="R483" s="97" t="s">
        <v>5663</v>
      </c>
      <c r="S483" s="93">
        <v>21697868.203256</v>
      </c>
      <c r="U483" s="19" t="s">
        <v>6382</v>
      </c>
      <c r="V483" s="19">
        <v>26601</v>
      </c>
      <c r="W483" s="115">
        <v>1880.082026</v>
      </c>
      <c r="X483" s="115">
        <f t="shared" si="105"/>
        <v>50012061.973626003</v>
      </c>
      <c r="Y483" s="259" t="s">
        <v>5335</v>
      </c>
      <c r="AI483" s="147"/>
      <c r="AJ483" s="147"/>
      <c r="AK483" s="186"/>
      <c r="AL483" s="147"/>
      <c r="AM483" s="147">
        <f t="shared" si="126"/>
        <v>0</v>
      </c>
      <c r="AN483" s="147">
        <f t="shared" si="127"/>
        <v>0</v>
      </c>
      <c r="AO483" s="147"/>
    </row>
    <row r="484" spans="18:46">
      <c r="R484" s="97" t="s">
        <v>5664</v>
      </c>
      <c r="S484" s="93">
        <v>25340079.252110001</v>
      </c>
      <c r="U484" s="187" t="s">
        <v>6382</v>
      </c>
      <c r="V484" s="187">
        <v>10637</v>
      </c>
      <c r="W484" s="186">
        <v>1880.082026</v>
      </c>
      <c r="X484" s="186">
        <f t="shared" si="105"/>
        <v>19998432.510561999</v>
      </c>
      <c r="Y484" s="258" t="s">
        <v>6383</v>
      </c>
      <c r="Z484" t="s">
        <v>25</v>
      </c>
      <c r="AI484" s="20"/>
      <c r="AJ484" s="20"/>
      <c r="AK484" s="115"/>
      <c r="AL484" s="20"/>
      <c r="AM484" s="20">
        <f t="shared" si="124"/>
        <v>0</v>
      </c>
      <c r="AN484" s="20">
        <f t="shared" si="125"/>
        <v>0</v>
      </c>
      <c r="AO484" s="20"/>
    </row>
    <row r="485" spans="18:46">
      <c r="R485" s="97" t="s">
        <v>5667</v>
      </c>
      <c r="S485" s="93">
        <v>14780983.183526</v>
      </c>
      <c r="U485" s="19" t="s">
        <v>6388</v>
      </c>
      <c r="V485" s="19">
        <v>306</v>
      </c>
      <c r="W485" s="115">
        <v>1831.8117119999999</v>
      </c>
      <c r="X485" s="115">
        <f t="shared" si="105"/>
        <v>560534.38387200003</v>
      </c>
      <c r="Y485" s="259" t="s">
        <v>5097</v>
      </c>
      <c r="Z485" t="s">
        <v>25</v>
      </c>
      <c r="AI485" s="20"/>
      <c r="AJ485" s="20"/>
      <c r="AK485" s="115"/>
      <c r="AL485" s="20"/>
      <c r="AM485" s="20">
        <f t="shared" si="124"/>
        <v>0</v>
      </c>
      <c r="AN485" s="20">
        <f t="shared" si="125"/>
        <v>0</v>
      </c>
      <c r="AO485" s="20"/>
    </row>
    <row r="486" spans="18:46">
      <c r="R486" s="97" t="s">
        <v>5667</v>
      </c>
      <c r="S486" s="93">
        <v>17804396.448481999</v>
      </c>
      <c r="U486" s="19" t="s">
        <v>6390</v>
      </c>
      <c r="V486" s="19">
        <v>325</v>
      </c>
      <c r="W486" s="115">
        <v>1789.1845169999999</v>
      </c>
      <c r="X486" s="115">
        <f t="shared" si="105"/>
        <v>581484.96802499995</v>
      </c>
      <c r="Y486" s="259" t="s">
        <v>5097</v>
      </c>
      <c r="AA486" t="s">
        <v>25</v>
      </c>
      <c r="AI486" s="20"/>
      <c r="AJ486" s="20"/>
      <c r="AK486" s="115"/>
      <c r="AL486" s="20"/>
      <c r="AM486" s="20">
        <f t="shared" si="124"/>
        <v>0</v>
      </c>
      <c r="AN486" s="20">
        <f t="shared" si="125"/>
        <v>0</v>
      </c>
      <c r="AO486" s="20"/>
    </row>
    <row r="487" spans="18:46">
      <c r="R487" s="97" t="s">
        <v>5670</v>
      </c>
      <c r="S487" s="93">
        <v>260260000</v>
      </c>
      <c r="U487" s="19" t="s">
        <v>6392</v>
      </c>
      <c r="V487" s="19">
        <v>1154</v>
      </c>
      <c r="W487" s="115">
        <v>1851.788857</v>
      </c>
      <c r="X487" s="115">
        <f t="shared" si="105"/>
        <v>2136964.3409779998</v>
      </c>
      <c r="Y487" s="259" t="s">
        <v>5097</v>
      </c>
      <c r="AA487" t="s">
        <v>25</v>
      </c>
      <c r="AI487" s="97"/>
      <c r="AJ487" s="97"/>
      <c r="AK487" s="115"/>
      <c r="AL487" s="97"/>
      <c r="AM487" s="20">
        <f t="shared" si="124"/>
        <v>0</v>
      </c>
      <c r="AN487" s="20">
        <f t="shared" si="125"/>
        <v>0</v>
      </c>
      <c r="AO487" s="20"/>
    </row>
    <row r="488" spans="18:46" ht="30">
      <c r="R488" s="97" t="s">
        <v>5671</v>
      </c>
      <c r="S488" s="93">
        <v>11538335.631417999</v>
      </c>
      <c r="U488" s="19" t="s">
        <v>6392</v>
      </c>
      <c r="V488" s="19">
        <v>3240</v>
      </c>
      <c r="W488" s="115">
        <v>1851.788857</v>
      </c>
      <c r="X488" s="115">
        <f t="shared" si="105"/>
        <v>5999795.8966800002</v>
      </c>
      <c r="Y488" s="259" t="s">
        <v>6393</v>
      </c>
      <c r="AB488" t="s">
        <v>25</v>
      </c>
      <c r="AI488" s="97"/>
      <c r="AJ488" s="97"/>
      <c r="AK488" s="115"/>
      <c r="AL488" s="97"/>
      <c r="AM488" s="20">
        <f t="shared" si="120"/>
        <v>0</v>
      </c>
      <c r="AN488" s="20">
        <f t="shared" si="121"/>
        <v>0</v>
      </c>
      <c r="AO488" s="97"/>
    </row>
    <row r="489" spans="18:46">
      <c r="R489" s="97" t="s">
        <v>5679</v>
      </c>
      <c r="S489" s="93">
        <v>12429517.767776001</v>
      </c>
      <c r="U489" s="19" t="s">
        <v>6392</v>
      </c>
      <c r="V489" s="19">
        <v>-3240</v>
      </c>
      <c r="W489" s="115">
        <v>1851.788857</v>
      </c>
      <c r="X489" s="115">
        <f t="shared" si="105"/>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6395</v>
      </c>
      <c r="V490" s="19">
        <v>330</v>
      </c>
      <c r="W490" s="115">
        <v>1799.34311</v>
      </c>
      <c r="X490" s="115">
        <f t="shared" si="105"/>
        <v>593783.22629999998</v>
      </c>
      <c r="Y490" s="259" t="s">
        <v>5097</v>
      </c>
      <c r="AB490" t="s">
        <v>25</v>
      </c>
      <c r="AC490" t="s">
        <v>25</v>
      </c>
      <c r="AK490" t="s">
        <v>4041</v>
      </c>
      <c r="AN490" t="s">
        <v>284</v>
      </c>
      <c r="AO490" t="s">
        <v>926</v>
      </c>
    </row>
    <row r="491" spans="18:46">
      <c r="R491" s="97" t="s">
        <v>5685</v>
      </c>
      <c r="S491" s="93">
        <v>6822803.9080700008</v>
      </c>
      <c r="U491" s="19" t="s">
        <v>6399</v>
      </c>
      <c r="V491" s="19">
        <v>266</v>
      </c>
      <c r="W491" s="115">
        <v>1764.9246700000001</v>
      </c>
      <c r="X491" s="115">
        <f t="shared" si="105"/>
        <v>469469.96222000004</v>
      </c>
      <c r="Y491" s="259" t="s">
        <v>5097</v>
      </c>
      <c r="Z491" t="s">
        <v>25</v>
      </c>
      <c r="AT491" t="s">
        <v>25</v>
      </c>
    </row>
    <row r="492" spans="18:46">
      <c r="R492" s="97" t="s">
        <v>5694</v>
      </c>
      <c r="S492" s="93">
        <v>330889.73324399994</v>
      </c>
      <c r="U492" s="187" t="s">
        <v>6409</v>
      </c>
      <c r="V492" s="187">
        <v>-10637</v>
      </c>
      <c r="W492" s="186">
        <v>1739.5916549999999</v>
      </c>
      <c r="X492" s="186">
        <f t="shared" si="105"/>
        <v>-18504036.434234999</v>
      </c>
      <c r="Y492" s="258" t="s">
        <v>6412</v>
      </c>
      <c r="Z492" t="s">
        <v>25</v>
      </c>
      <c r="AB492" t="s">
        <v>25</v>
      </c>
      <c r="AJ492" t="s">
        <v>4043</v>
      </c>
      <c r="AK492" s="112">
        <f>AK489+AO489</f>
        <v>335675906.83108795</v>
      </c>
      <c r="AN492" t="s">
        <v>25</v>
      </c>
    </row>
    <row r="493" spans="18:46">
      <c r="R493" s="97" t="s">
        <v>5695</v>
      </c>
      <c r="S493" s="93">
        <v>6610318.1610199995</v>
      </c>
      <c r="U493" s="19" t="s">
        <v>6409</v>
      </c>
      <c r="V493" s="19">
        <v>10637</v>
      </c>
      <c r="W493" s="115">
        <v>1739.5916549999999</v>
      </c>
      <c r="X493" s="115">
        <f t="shared" si="105"/>
        <v>18504036.434234999</v>
      </c>
      <c r="Y493" s="259" t="s">
        <v>6413</v>
      </c>
      <c r="AB493" t="s">
        <v>25</v>
      </c>
      <c r="AJ493" t="s">
        <v>4046</v>
      </c>
      <c r="AK493" s="112">
        <f>SUM(N26:N36)</f>
        <v>4207588120</v>
      </c>
    </row>
    <row r="494" spans="18:46" ht="30">
      <c r="R494" s="97" t="s">
        <v>5697</v>
      </c>
      <c r="S494" s="93">
        <v>710713.17725199996</v>
      </c>
      <c r="U494" s="19" t="s">
        <v>6437</v>
      </c>
      <c r="V494" s="19">
        <v>39478</v>
      </c>
      <c r="W494" s="115">
        <v>1873.903047</v>
      </c>
      <c r="X494" s="115">
        <f t="shared" si="105"/>
        <v>73977944.489465997</v>
      </c>
      <c r="Y494" s="259" t="s">
        <v>6438</v>
      </c>
      <c r="AJ494" t="s">
        <v>4116</v>
      </c>
      <c r="AK494" s="112">
        <f>AK493-AK489</f>
        <v>3986412732.151772</v>
      </c>
    </row>
    <row r="495" spans="18:46">
      <c r="R495" s="97" t="s">
        <v>5700</v>
      </c>
      <c r="S495" s="93">
        <v>81025</v>
      </c>
      <c r="U495" s="19" t="s">
        <v>6442</v>
      </c>
      <c r="V495" s="19">
        <v>283</v>
      </c>
      <c r="W495" s="115">
        <v>2014.7222959999999</v>
      </c>
      <c r="X495" s="115">
        <f t="shared" si="105"/>
        <v>570166.40976800001</v>
      </c>
      <c r="Y495" s="259" t="s">
        <v>6443</v>
      </c>
      <c r="Z495" t="s">
        <v>25</v>
      </c>
      <c r="AB495" t="s">
        <v>25</v>
      </c>
      <c r="AJ495" t="s">
        <v>926</v>
      </c>
      <c r="AK495" s="112">
        <f>AO489</f>
        <v>114500518.98285995</v>
      </c>
    </row>
    <row r="496" spans="18:46">
      <c r="R496" s="97" t="s">
        <v>5701</v>
      </c>
      <c r="S496" s="93">
        <v>219696.613128</v>
      </c>
      <c r="U496" s="19" t="s">
        <v>6445</v>
      </c>
      <c r="V496" s="19">
        <v>1704</v>
      </c>
      <c r="W496" s="115">
        <v>2104.0605820000001</v>
      </c>
      <c r="X496" s="115">
        <f t="shared" si="105"/>
        <v>3585319.2317280001</v>
      </c>
      <c r="Y496" s="259" t="s">
        <v>5097</v>
      </c>
      <c r="AA496" t="s">
        <v>25</v>
      </c>
      <c r="AB496" t="s">
        <v>25</v>
      </c>
      <c r="AC496" t="s">
        <v>25</v>
      </c>
      <c r="AJ496" t="s">
        <v>4047</v>
      </c>
      <c r="AK496" s="112">
        <f>AK494-AK495</f>
        <v>3871912213.1689119</v>
      </c>
      <c r="AN496" t="s">
        <v>25</v>
      </c>
      <c r="AO496" t="s">
        <v>25</v>
      </c>
    </row>
    <row r="497" spans="18:41">
      <c r="R497" s="97" t="s">
        <v>5702</v>
      </c>
      <c r="S497" s="93">
        <v>6035472.4070199998</v>
      </c>
      <c r="U497" s="19" t="s">
        <v>6448</v>
      </c>
      <c r="V497" s="19">
        <v>324</v>
      </c>
      <c r="W497" s="115">
        <v>2088.5824040000002</v>
      </c>
      <c r="X497" s="115">
        <f t="shared" si="105"/>
        <v>676700.69889600005</v>
      </c>
      <c r="Y497" s="259" t="s">
        <v>5097</v>
      </c>
      <c r="Z497" t="s">
        <v>25</v>
      </c>
      <c r="AA497" t="s">
        <v>25</v>
      </c>
      <c r="AB497" t="s">
        <v>25</v>
      </c>
      <c r="AM497" t="s">
        <v>25</v>
      </c>
      <c r="AN497" t="s">
        <v>25</v>
      </c>
      <c r="AO497" t="s">
        <v>25</v>
      </c>
    </row>
    <row r="498" spans="18:41">
      <c r="R498" s="97" t="s">
        <v>5703</v>
      </c>
      <c r="S498" s="93">
        <v>984486.34963200008</v>
      </c>
      <c r="U498" s="19" t="s">
        <v>6456</v>
      </c>
      <c r="V498" s="19">
        <v>538</v>
      </c>
      <c r="W498" s="115">
        <v>2055.3485930000002</v>
      </c>
      <c r="X498" s="115">
        <f t="shared" si="105"/>
        <v>1105777.5430340001</v>
      </c>
      <c r="Y498" s="259" t="s">
        <v>5097</v>
      </c>
      <c r="Z498" t="s">
        <v>25</v>
      </c>
    </row>
    <row r="499" spans="18:41">
      <c r="R499" s="97" t="s">
        <v>5713</v>
      </c>
      <c r="S499" s="93">
        <v>2143469.938015</v>
      </c>
      <c r="U499" s="19" t="s">
        <v>6460</v>
      </c>
      <c r="V499" s="19">
        <v>1031</v>
      </c>
      <c r="W499" s="115">
        <v>2245.620621</v>
      </c>
      <c r="X499" s="115">
        <f t="shared" si="105"/>
        <v>2315234.8602510002</v>
      </c>
      <c r="Y499" s="259" t="s">
        <v>5097</v>
      </c>
      <c r="Z499" t="s">
        <v>25</v>
      </c>
      <c r="AB499" t="s">
        <v>25</v>
      </c>
      <c r="AC499" t="s">
        <v>25</v>
      </c>
    </row>
    <row r="500" spans="18:41">
      <c r="R500" s="97" t="s">
        <v>5714</v>
      </c>
      <c r="S500" s="93">
        <v>3085460.5177150001</v>
      </c>
      <c r="U500" s="19" t="s">
        <v>6462</v>
      </c>
      <c r="V500" s="19">
        <v>1804</v>
      </c>
      <c r="W500" s="115">
        <v>2292.882846</v>
      </c>
      <c r="X500" s="115">
        <f t="shared" si="105"/>
        <v>4136360.6541840001</v>
      </c>
      <c r="Y500" s="259" t="s">
        <v>5097</v>
      </c>
      <c r="AB500" t="s">
        <v>25</v>
      </c>
      <c r="AO500" t="s">
        <v>25</v>
      </c>
    </row>
    <row r="501" spans="18:41">
      <c r="R501" s="97" t="s">
        <v>5715</v>
      </c>
      <c r="S501" s="93">
        <v>8261456.790906</v>
      </c>
      <c r="U501" s="19" t="s">
        <v>6464</v>
      </c>
      <c r="V501" s="19">
        <v>1348</v>
      </c>
      <c r="W501" s="115">
        <v>2252.0137020000002</v>
      </c>
      <c r="X501" s="115">
        <f t="shared" si="105"/>
        <v>3035714.4702960001</v>
      </c>
      <c r="Y501" s="259" t="s">
        <v>5097</v>
      </c>
      <c r="AC501" t="s">
        <v>25</v>
      </c>
      <c r="AO501" t="s">
        <v>25</v>
      </c>
    </row>
    <row r="502" spans="18:41">
      <c r="R502" s="97" t="s">
        <v>5719</v>
      </c>
      <c r="S502" s="93">
        <v>6572373.7593120001</v>
      </c>
      <c r="U502" s="19" t="s">
        <v>6472</v>
      </c>
      <c r="V502" s="19">
        <v>-76536</v>
      </c>
      <c r="W502" s="115">
        <v>2350.6086869999999</v>
      </c>
      <c r="X502" s="115">
        <f t="shared" si="105"/>
        <v>-179906186.46823201</v>
      </c>
      <c r="Y502" s="259" t="s">
        <v>6475</v>
      </c>
    </row>
    <row r="503" spans="18:41">
      <c r="R503" s="97" t="s">
        <v>5720</v>
      </c>
      <c r="S503" s="93">
        <v>2893243.5730909999</v>
      </c>
      <c r="U503" s="19" t="s">
        <v>6477</v>
      </c>
      <c r="V503" s="19">
        <v>145</v>
      </c>
      <c r="W503" s="115">
        <v>2379.7882030000001</v>
      </c>
      <c r="X503" s="115">
        <f t="shared" si="105"/>
        <v>345069.28943499998</v>
      </c>
      <c r="Y503" s="259" t="s">
        <v>5097</v>
      </c>
      <c r="Z503" t="s">
        <v>25</v>
      </c>
      <c r="AB503" t="s">
        <v>25</v>
      </c>
    </row>
    <row r="504" spans="18:41">
      <c r="R504" s="97" t="s">
        <v>5725</v>
      </c>
      <c r="S504" s="93">
        <v>94992058.939007998</v>
      </c>
      <c r="U504" s="187" t="s">
        <v>6477</v>
      </c>
      <c r="V504" s="187">
        <v>55</v>
      </c>
      <c r="W504" s="186">
        <v>2379.7882030000001</v>
      </c>
      <c r="X504" s="186">
        <f t="shared" si="105"/>
        <v>130888.351165</v>
      </c>
      <c r="Y504" s="258" t="s">
        <v>6563</v>
      </c>
      <c r="AA504" t="s">
        <v>25</v>
      </c>
    </row>
    <row r="505" spans="18:41">
      <c r="R505" s="97" t="s">
        <v>5730</v>
      </c>
      <c r="S505" s="93">
        <v>275021.925965</v>
      </c>
      <c r="U505" s="19" t="s">
        <v>6477</v>
      </c>
      <c r="V505" s="19">
        <v>53</v>
      </c>
      <c r="W505" s="115">
        <v>2379.7882030000001</v>
      </c>
      <c r="X505" s="115">
        <f t="shared" si="105"/>
        <v>126128.77475900001</v>
      </c>
      <c r="Y505" s="259" t="s">
        <v>6564</v>
      </c>
      <c r="AA505" t="s">
        <v>25</v>
      </c>
    </row>
    <row r="506" spans="18:41">
      <c r="R506" s="97" t="s">
        <v>5740</v>
      </c>
      <c r="S506" s="93">
        <v>327451.9203</v>
      </c>
      <c r="U506" s="19" t="s">
        <v>6569</v>
      </c>
      <c r="V506" s="19">
        <v>243</v>
      </c>
      <c r="W506" s="115">
        <v>2336.5653440000001</v>
      </c>
      <c r="X506" s="115">
        <f t="shared" si="105"/>
        <v>567785.37859199999</v>
      </c>
      <c r="Y506" s="259" t="s">
        <v>5097</v>
      </c>
    </row>
    <row r="507" spans="18:41">
      <c r="R507" s="97" t="s">
        <v>5748</v>
      </c>
      <c r="S507" s="93">
        <v>260081.94096800001</v>
      </c>
      <c r="U507" s="19" t="s">
        <v>6580</v>
      </c>
      <c r="V507" s="19">
        <v>81</v>
      </c>
      <c r="W507" s="115">
        <v>2341.77675</v>
      </c>
      <c r="X507" s="115">
        <f t="shared" si="105"/>
        <v>189683.91675</v>
      </c>
      <c r="Y507" s="259" t="s">
        <v>5097</v>
      </c>
      <c r="Z507" t="s">
        <v>25</v>
      </c>
    </row>
    <row r="508" spans="18:41">
      <c r="R508" s="97" t="s">
        <v>5749</v>
      </c>
      <c r="S508" s="93">
        <v>2909284.5308940001</v>
      </c>
      <c r="U508" s="187" t="s">
        <v>6581</v>
      </c>
      <c r="V508" s="187">
        <v>21767</v>
      </c>
      <c r="W508" s="186">
        <v>2297.060872</v>
      </c>
      <c r="X508" s="186">
        <f t="shared" si="105"/>
        <v>50000124.000823997</v>
      </c>
      <c r="Y508" s="258" t="s">
        <v>6583</v>
      </c>
    </row>
    <row r="509" spans="18:41">
      <c r="R509" s="97" t="s">
        <v>5750</v>
      </c>
      <c r="S509" s="93">
        <v>37723205.094084002</v>
      </c>
      <c r="U509" s="19" t="s">
        <v>6581</v>
      </c>
      <c r="V509" s="19">
        <v>4353</v>
      </c>
      <c r="W509" s="115">
        <v>2297.060872</v>
      </c>
      <c r="X509" s="115">
        <f t="shared" si="105"/>
        <v>9999105.9758160003</v>
      </c>
      <c r="Y509" s="259" t="s">
        <v>6584</v>
      </c>
      <c r="AA509" t="s">
        <v>25</v>
      </c>
    </row>
    <row r="510" spans="18:41">
      <c r="R510" s="97" t="s">
        <v>5751</v>
      </c>
      <c r="S510" s="93">
        <v>1500094.75168</v>
      </c>
      <c r="U510" s="19" t="s">
        <v>6581</v>
      </c>
      <c r="V510" s="19">
        <v>226</v>
      </c>
      <c r="W510" s="115">
        <v>2297.060872</v>
      </c>
      <c r="X510" s="115">
        <f t="shared" si="105"/>
        <v>519135.75707200001</v>
      </c>
      <c r="Y510" s="259" t="s">
        <v>5097</v>
      </c>
      <c r="AB510" t="s">
        <v>25</v>
      </c>
    </row>
    <row r="511" spans="18:41">
      <c r="R511" s="97" t="s">
        <v>5753</v>
      </c>
      <c r="S511" s="93">
        <v>7230628.4378079996</v>
      </c>
      <c r="U511" s="19" t="s">
        <v>6587</v>
      </c>
      <c r="V511" s="19">
        <v>1416</v>
      </c>
      <c r="W511" s="115">
        <v>2405.6595360000001</v>
      </c>
      <c r="X511" s="115">
        <f t="shared" si="105"/>
        <v>3406413.9029760002</v>
      </c>
      <c r="Y511" s="259" t="s">
        <v>5097</v>
      </c>
      <c r="AA511" t="s">
        <v>25</v>
      </c>
    </row>
    <row r="512" spans="18:41">
      <c r="R512" s="97" t="s">
        <v>5754</v>
      </c>
      <c r="S512" s="93">
        <v>29767389.390390001</v>
      </c>
      <c r="U512" s="19" t="s">
        <v>6589</v>
      </c>
      <c r="V512" s="19">
        <v>172</v>
      </c>
      <c r="W512" s="115">
        <v>2529.2810939999999</v>
      </c>
      <c r="X512" s="115">
        <f t="shared" si="105"/>
        <v>435036.348168</v>
      </c>
      <c r="Y512" s="259" t="s">
        <v>5097</v>
      </c>
      <c r="AA512" t="s">
        <v>25</v>
      </c>
    </row>
    <row r="513" spans="15:28">
      <c r="R513" s="97" t="s">
        <v>5756</v>
      </c>
      <c r="S513" s="93">
        <v>151560.25597</v>
      </c>
      <c r="U513" s="19" t="s">
        <v>6597</v>
      </c>
      <c r="V513" s="19">
        <v>-3909</v>
      </c>
      <c r="W513" s="115">
        <v>2881.8852230000002</v>
      </c>
      <c r="X513" s="115">
        <f>V513*W513</f>
        <v>-11265289.336707002</v>
      </c>
      <c r="Y513" s="259" t="s">
        <v>6598</v>
      </c>
    </row>
    <row r="514" spans="15:28">
      <c r="R514" s="97" t="s">
        <v>5759</v>
      </c>
      <c r="S514" s="93">
        <v>481318.88078800001</v>
      </c>
      <c r="U514" s="187" t="s">
        <v>6597</v>
      </c>
      <c r="V514" s="187">
        <v>-932</v>
      </c>
      <c r="W514" s="186">
        <v>2881.8852230000002</v>
      </c>
      <c r="X514" s="186">
        <f t="shared" si="105"/>
        <v>-2685917.0278360001</v>
      </c>
      <c r="Y514" s="258" t="s">
        <v>6599</v>
      </c>
      <c r="AB514" t="s">
        <v>25</v>
      </c>
    </row>
    <row r="515" spans="15:28">
      <c r="R515" s="97" t="s">
        <v>5771</v>
      </c>
      <c r="S515" s="93">
        <v>146277.56820000001</v>
      </c>
      <c r="U515" s="19" t="s">
        <v>6609</v>
      </c>
      <c r="V515" s="19">
        <v>33</v>
      </c>
      <c r="W515" s="115">
        <v>2905.0202519999998</v>
      </c>
      <c r="X515" s="115">
        <f t="shared" si="105"/>
        <v>95865.668315999996</v>
      </c>
      <c r="Y515" s="259" t="s">
        <v>4406</v>
      </c>
    </row>
    <row r="516" spans="15:28">
      <c r="P516" t="s">
        <v>25</v>
      </c>
      <c r="R516" s="97" t="s">
        <v>5774</v>
      </c>
      <c r="S516" s="93">
        <v>424693.40162399999</v>
      </c>
      <c r="U516" s="187" t="s">
        <v>6628</v>
      </c>
      <c r="V516" s="187">
        <v>10421</v>
      </c>
      <c r="W516" s="186">
        <v>2780.2819920000002</v>
      </c>
      <c r="X516" s="186">
        <f t="shared" si="105"/>
        <v>28973318.638632003</v>
      </c>
      <c r="Y516" s="258" t="s">
        <v>6630</v>
      </c>
    </row>
    <row r="517" spans="15:28">
      <c r="R517" s="97" t="s">
        <v>5776</v>
      </c>
      <c r="S517" s="93">
        <v>558320.40202399995</v>
      </c>
      <c r="U517" s="19" t="s">
        <v>6628</v>
      </c>
      <c r="V517" s="19">
        <v>835</v>
      </c>
      <c r="W517" s="115">
        <v>2780.2819920000002</v>
      </c>
      <c r="X517" s="115">
        <f t="shared" si="105"/>
        <v>2321535.4633200001</v>
      </c>
      <c r="Y517" s="259" t="s">
        <v>5097</v>
      </c>
    </row>
    <row r="518" spans="15:28">
      <c r="R518" s="97" t="s">
        <v>5798</v>
      </c>
      <c r="S518" s="93">
        <v>207642.22201140001</v>
      </c>
      <c r="U518" s="19" t="s">
        <v>6909</v>
      </c>
      <c r="V518" s="19">
        <v>410</v>
      </c>
      <c r="W518" s="115">
        <v>2678.4068379999999</v>
      </c>
      <c r="X518" s="115">
        <f t="shared" si="105"/>
        <v>1098146.8035800001</v>
      </c>
      <c r="Y518" s="259" t="s">
        <v>5097</v>
      </c>
    </row>
    <row r="519" spans="15:28">
      <c r="R519" s="97" t="s">
        <v>5798</v>
      </c>
      <c r="S519" s="93">
        <v>33832510.64875</v>
      </c>
      <c r="U519" s="19" t="s">
        <v>6914</v>
      </c>
      <c r="V519" s="19">
        <v>201</v>
      </c>
      <c r="W519" s="115">
        <v>2688.6794049999999</v>
      </c>
      <c r="X519" s="115">
        <f t="shared" si="105"/>
        <v>540424.560405</v>
      </c>
      <c r="Y519" s="259" t="s">
        <v>5097</v>
      </c>
      <c r="AA519" t="s">
        <v>25</v>
      </c>
    </row>
    <row r="520" spans="15:28">
      <c r="R520" s="97" t="s">
        <v>5807</v>
      </c>
      <c r="S520" s="93">
        <v>637977.33504399995</v>
      </c>
      <c r="U520" s="19" t="s">
        <v>6916</v>
      </c>
      <c r="V520" s="19">
        <v>1133</v>
      </c>
      <c r="W520" s="115">
        <v>2455.1740869999999</v>
      </c>
      <c r="X520" s="115">
        <f t="shared" si="105"/>
        <v>2781712.2405709997</v>
      </c>
      <c r="Y520" s="259" t="s">
        <v>5097</v>
      </c>
      <c r="AA520" t="s">
        <v>25</v>
      </c>
      <c r="AB520" t="s">
        <v>25</v>
      </c>
    </row>
    <row r="521" spans="15:28" ht="30">
      <c r="R521" s="97" t="s">
        <v>5808</v>
      </c>
      <c r="S521" s="93">
        <v>466552.25632400002</v>
      </c>
      <c r="U521" s="19" t="s">
        <v>6919</v>
      </c>
      <c r="V521" s="19">
        <v>59</v>
      </c>
      <c r="W521" s="115">
        <v>2706.4553110000002</v>
      </c>
      <c r="X521" s="115">
        <f t="shared" si="105"/>
        <v>159680.86334900002</v>
      </c>
      <c r="Y521" s="259" t="s">
        <v>6920</v>
      </c>
      <c r="Z521" t="s">
        <v>25</v>
      </c>
      <c r="AA521" t="s">
        <v>25</v>
      </c>
      <c r="AB521" t="s">
        <v>25</v>
      </c>
    </row>
    <row r="522" spans="15:28">
      <c r="R522" s="97" t="s">
        <v>5809</v>
      </c>
      <c r="S522" s="93">
        <v>149316.98805000001</v>
      </c>
      <c r="U522" s="19" t="s">
        <v>6945</v>
      </c>
      <c r="V522" s="19">
        <v>4795</v>
      </c>
      <c r="W522" s="115">
        <v>2908.4025580000002</v>
      </c>
      <c r="X522" s="115">
        <f t="shared" si="105"/>
        <v>13945790.265610002</v>
      </c>
      <c r="Y522" s="259" t="s">
        <v>5337</v>
      </c>
    </row>
    <row r="523" spans="15:28">
      <c r="R523" s="97" t="s">
        <v>5809</v>
      </c>
      <c r="S523" s="93">
        <v>189134.85153000001</v>
      </c>
      <c r="U523" s="19" t="s">
        <v>6947</v>
      </c>
      <c r="V523" s="19">
        <v>164</v>
      </c>
      <c r="W523" s="115">
        <v>2792.1636870000002</v>
      </c>
      <c r="X523" s="115">
        <f t="shared" si="105"/>
        <v>457914.84466800001</v>
      </c>
      <c r="Y523" s="259" t="s">
        <v>5337</v>
      </c>
    </row>
    <row r="524" spans="15:28">
      <c r="R524" s="97" t="s">
        <v>5811</v>
      </c>
      <c r="S524" s="93">
        <v>564888.82799599995</v>
      </c>
      <c r="U524" s="19" t="s">
        <v>6949</v>
      </c>
      <c r="V524" s="19">
        <v>352</v>
      </c>
      <c r="W524" s="115">
        <v>2768.6657369999998</v>
      </c>
      <c r="X524" s="115">
        <f t="shared" si="105"/>
        <v>974570.33942399989</v>
      </c>
      <c r="Y524" s="259" t="s">
        <v>5337</v>
      </c>
    </row>
    <row r="525" spans="15:28">
      <c r="R525" s="97" t="s">
        <v>5814</v>
      </c>
      <c r="S525" s="93">
        <v>8762299.2047910001</v>
      </c>
      <c r="U525" s="19" t="s">
        <v>6951</v>
      </c>
      <c r="V525" s="19">
        <v>283</v>
      </c>
      <c r="W525" s="115">
        <v>2636.7439079999999</v>
      </c>
      <c r="X525" s="115">
        <f t="shared" si="105"/>
        <v>746198.52596400003</v>
      </c>
      <c r="Y525" s="259" t="s">
        <v>5337</v>
      </c>
      <c r="Z525" t="s">
        <v>25</v>
      </c>
    </row>
    <row r="526" spans="15:28">
      <c r="R526" s="97" t="s">
        <v>5814</v>
      </c>
      <c r="S526" s="93">
        <v>-341847876.93843603</v>
      </c>
      <c r="U526" s="19" t="s">
        <v>6954</v>
      </c>
      <c r="V526" s="19">
        <v>154</v>
      </c>
      <c r="W526" s="115">
        <v>2702</v>
      </c>
      <c r="X526" s="115">
        <f t="shared" si="105"/>
        <v>416108</v>
      </c>
      <c r="Y526" s="259" t="s">
        <v>5337</v>
      </c>
      <c r="Z526" t="s">
        <v>25</v>
      </c>
      <c r="AA526" t="s">
        <v>25</v>
      </c>
    </row>
    <row r="527" spans="15:28">
      <c r="O527" s="112"/>
      <c r="R527" s="97" t="s">
        <v>5846</v>
      </c>
      <c r="S527" s="93">
        <v>259993.58394100002</v>
      </c>
      <c r="U527" s="19" t="s">
        <v>6969</v>
      </c>
      <c r="V527" s="19">
        <v>135</v>
      </c>
      <c r="W527" s="115">
        <v>2678.6709300000002</v>
      </c>
      <c r="X527" s="115">
        <f t="shared" si="105"/>
        <v>361620.57555000001</v>
      </c>
      <c r="Y527" s="259" t="s">
        <v>5337</v>
      </c>
      <c r="AA527" t="s">
        <v>25</v>
      </c>
    </row>
    <row r="528" spans="15:28">
      <c r="R528" s="97" t="s">
        <v>5847</v>
      </c>
      <c r="S528" s="93">
        <v>269955.31205999997</v>
      </c>
      <c r="U528" s="19" t="s">
        <v>6970</v>
      </c>
      <c r="V528" s="19">
        <v>291</v>
      </c>
      <c r="W528" s="115">
        <v>2616.1873500000002</v>
      </c>
      <c r="X528" s="115">
        <f t="shared" si="105"/>
        <v>761310.51884999999</v>
      </c>
      <c r="Y528" s="259" t="s">
        <v>5337</v>
      </c>
      <c r="AA528" t="s">
        <v>25</v>
      </c>
    </row>
    <row r="529" spans="18:28">
      <c r="R529" s="97" t="s">
        <v>6388</v>
      </c>
      <c r="S529" s="93">
        <v>560534.38387200003</v>
      </c>
      <c r="U529" s="19" t="s">
        <v>6973</v>
      </c>
      <c r="V529" s="19">
        <v>1194</v>
      </c>
      <c r="W529" s="115">
        <v>2552.0103049999998</v>
      </c>
      <c r="X529" s="115">
        <f t="shared" si="105"/>
        <v>3047100.3041699999</v>
      </c>
      <c r="Y529" s="259" t="s">
        <v>5337</v>
      </c>
      <c r="Z529" t="s">
        <v>25</v>
      </c>
      <c r="AA529" t="s">
        <v>25</v>
      </c>
    </row>
    <row r="530" spans="18:28">
      <c r="R530" s="97" t="s">
        <v>6390</v>
      </c>
      <c r="S530" s="93">
        <v>581484.96802499995</v>
      </c>
      <c r="U530" s="19" t="s">
        <v>6976</v>
      </c>
      <c r="V530" s="19">
        <v>928</v>
      </c>
      <c r="W530" s="115">
        <v>2626.1621239999999</v>
      </c>
      <c r="X530" s="115">
        <f t="shared" si="105"/>
        <v>2437078.451072</v>
      </c>
      <c r="Y530" s="259" t="s">
        <v>5337</v>
      </c>
    </row>
    <row r="531" spans="18:28">
      <c r="R531" s="97" t="s">
        <v>6392</v>
      </c>
      <c r="S531" s="93">
        <v>2136964.3409779998</v>
      </c>
      <c r="U531" s="187" t="s">
        <v>7033</v>
      </c>
      <c r="V531" s="187">
        <v>-15181</v>
      </c>
      <c r="W531" s="186">
        <v>2675.3319820000002</v>
      </c>
      <c r="X531" s="186">
        <f t="shared" si="105"/>
        <v>-40614214.818742</v>
      </c>
      <c r="Y531" s="258" t="s">
        <v>7034</v>
      </c>
      <c r="AB531" t="s">
        <v>25</v>
      </c>
    </row>
    <row r="532" spans="18:28">
      <c r="R532" s="97" t="s">
        <v>6395</v>
      </c>
      <c r="S532" s="93">
        <v>593783.22629999998</v>
      </c>
      <c r="U532" s="19" t="s">
        <v>7058</v>
      </c>
      <c r="V532" s="19">
        <v>3122</v>
      </c>
      <c r="W532" s="115">
        <v>2481.626972</v>
      </c>
      <c r="X532" s="115">
        <f t="shared" si="105"/>
        <v>7747639.4065840002</v>
      </c>
      <c r="Y532" s="259" t="s">
        <v>5337</v>
      </c>
      <c r="AB532" t="s">
        <v>5525</v>
      </c>
    </row>
    <row r="533" spans="18:28">
      <c r="R533" s="97" t="s">
        <v>6399</v>
      </c>
      <c r="S533" s="93">
        <v>469469.96222000004</v>
      </c>
      <c r="U533" s="19" t="s">
        <v>7060</v>
      </c>
      <c r="V533" s="19">
        <v>2209</v>
      </c>
      <c r="W533" s="115">
        <v>2528.2563839999998</v>
      </c>
      <c r="X533" s="115">
        <f t="shared" si="105"/>
        <v>5584918.3522559991</v>
      </c>
      <c r="Y533" s="259" t="s">
        <v>5337</v>
      </c>
      <c r="Z533" t="s">
        <v>25</v>
      </c>
    </row>
    <row r="534" spans="18:28">
      <c r="R534" s="97" t="s">
        <v>6437</v>
      </c>
      <c r="S534" s="93">
        <v>73977944.489465997</v>
      </c>
      <c r="U534" s="187" t="s">
        <v>7061</v>
      </c>
      <c r="V534" s="187">
        <v>2977</v>
      </c>
      <c r="W534" s="186">
        <v>2451.5674020000001</v>
      </c>
      <c r="X534" s="186">
        <f t="shared" si="105"/>
        <v>7298316.1557539999</v>
      </c>
      <c r="Y534" s="258" t="s">
        <v>1069</v>
      </c>
      <c r="Z534" t="s">
        <v>25</v>
      </c>
    </row>
    <row r="535" spans="18:28">
      <c r="R535" s="97" t="s">
        <v>6442</v>
      </c>
      <c r="S535" s="93">
        <v>570166.40976800001</v>
      </c>
      <c r="U535" s="19" t="s">
        <v>7061</v>
      </c>
      <c r="V535" s="19">
        <v>2857</v>
      </c>
      <c r="W535" s="115">
        <v>2451.5674020000001</v>
      </c>
      <c r="X535" s="115">
        <f t="shared" si="105"/>
        <v>7004128.0675140005</v>
      </c>
      <c r="Y535" s="259" t="s">
        <v>743</v>
      </c>
    </row>
    <row r="536" spans="18:28">
      <c r="R536" s="97" t="s">
        <v>6445</v>
      </c>
      <c r="S536" s="93">
        <v>3585319.2317280001</v>
      </c>
      <c r="U536" s="19" t="s">
        <v>7061</v>
      </c>
      <c r="V536" s="19">
        <v>234</v>
      </c>
      <c r="W536" s="115">
        <v>2451.5674020000001</v>
      </c>
      <c r="X536" s="115">
        <f t="shared" si="105"/>
        <v>573666.77206800005</v>
      </c>
      <c r="Y536" s="259" t="s">
        <v>5097</v>
      </c>
      <c r="Z536" t="s">
        <v>25</v>
      </c>
    </row>
    <row r="537" spans="18:28">
      <c r="R537" s="97" t="s">
        <v>6448</v>
      </c>
      <c r="S537" s="93">
        <v>676700.69889600005</v>
      </c>
      <c r="U537" s="19" t="s">
        <v>7074</v>
      </c>
      <c r="V537" s="19">
        <v>751</v>
      </c>
      <c r="W537" s="115">
        <v>2490.0381539999998</v>
      </c>
      <c r="X537" s="115">
        <f t="shared" si="105"/>
        <v>1870018.6536539998</v>
      </c>
      <c r="Y537" s="259" t="s">
        <v>5097</v>
      </c>
      <c r="AA537" t="s">
        <v>25</v>
      </c>
    </row>
    <row r="538" spans="18:28">
      <c r="R538" s="97" t="s">
        <v>6456</v>
      </c>
      <c r="S538" s="93">
        <v>1105777.5430340001</v>
      </c>
      <c r="U538" s="19" t="s">
        <v>7084</v>
      </c>
      <c r="V538" s="19">
        <v>44</v>
      </c>
      <c r="W538" s="115">
        <v>2664.1462569999999</v>
      </c>
      <c r="X538" s="115">
        <f t="shared" si="105"/>
        <v>117222.435308</v>
      </c>
      <c r="Y538" s="259" t="s">
        <v>5097</v>
      </c>
      <c r="AA538" t="s">
        <v>25</v>
      </c>
    </row>
    <row r="539" spans="18:28">
      <c r="R539" s="97" t="s">
        <v>6460</v>
      </c>
      <c r="S539" s="93">
        <v>2315234.8602510002</v>
      </c>
      <c r="U539" s="19" t="s">
        <v>7088</v>
      </c>
      <c r="V539" s="19">
        <v>717</v>
      </c>
      <c r="W539" s="115">
        <v>2706.9144700000002</v>
      </c>
      <c r="X539" s="115">
        <f t="shared" si="105"/>
        <v>1940857.6749900002</v>
      </c>
      <c r="Y539" s="259" t="s">
        <v>5097</v>
      </c>
    </row>
    <row r="540" spans="18:28">
      <c r="R540" s="97" t="s">
        <v>6462</v>
      </c>
      <c r="S540" s="93">
        <v>4136360.6541840001</v>
      </c>
      <c r="U540" s="19" t="s">
        <v>7127</v>
      </c>
      <c r="V540" s="19">
        <v>86686</v>
      </c>
      <c r="W540" s="115">
        <v>2307.1718759999999</v>
      </c>
      <c r="X540" s="115">
        <f t="shared" si="105"/>
        <v>199999501.24293599</v>
      </c>
      <c r="Y540" s="497" t="s">
        <v>7141</v>
      </c>
      <c r="Z540" t="s">
        <v>25</v>
      </c>
    </row>
    <row r="541" spans="18:28">
      <c r="R541" s="97" t="s">
        <v>6464</v>
      </c>
      <c r="S541" s="93">
        <v>3035714.4702960001</v>
      </c>
      <c r="U541" s="19"/>
      <c r="V541" s="19"/>
      <c r="W541" s="115"/>
      <c r="X541" s="115">
        <f t="shared" si="105"/>
        <v>0</v>
      </c>
      <c r="Y541" s="259"/>
      <c r="AA541" t="s">
        <v>25</v>
      </c>
      <c r="AB541" t="s">
        <v>25</v>
      </c>
    </row>
    <row r="542" spans="18:28">
      <c r="R542" s="97" t="s">
        <v>6472</v>
      </c>
      <c r="S542" s="93">
        <v>-179906186.46823201</v>
      </c>
      <c r="U542" s="97"/>
      <c r="V542" s="166"/>
      <c r="W542" s="111"/>
      <c r="X542" s="115">
        <f t="shared" si="105"/>
        <v>0</v>
      </c>
      <c r="Y542" s="97"/>
    </row>
    <row r="543" spans="18:28">
      <c r="R543" s="97" t="s">
        <v>6477</v>
      </c>
      <c r="S543" s="93">
        <v>345069.28943499998</v>
      </c>
      <c r="U543" s="166"/>
      <c r="V543" s="166">
        <f>SUM(V179:V542)</f>
        <v>4409207</v>
      </c>
      <c r="W543" s="97"/>
      <c r="X543" s="97"/>
      <c r="Y543" s="97"/>
    </row>
    <row r="544" spans="18:28">
      <c r="R544" s="97" t="s">
        <v>6569</v>
      </c>
      <c r="S544" s="93">
        <v>567785.37859199999</v>
      </c>
      <c r="U544" s="97"/>
      <c r="V544" s="97" t="s">
        <v>6</v>
      </c>
      <c r="W544" s="97"/>
      <c r="X544" s="97"/>
      <c r="Y544" s="97"/>
    </row>
    <row r="545" spans="18:27">
      <c r="R545" s="97" t="s">
        <v>6580</v>
      </c>
      <c r="S545" s="93">
        <v>189683.91675</v>
      </c>
      <c r="U545" s="196" t="s">
        <v>4433</v>
      </c>
    </row>
    <row r="546" spans="18:27">
      <c r="R546" s="97" t="s">
        <v>6581</v>
      </c>
      <c r="S546" s="93">
        <v>10000000</v>
      </c>
      <c r="U546" s="195">
        <f>S195/V543</f>
        <v>2340.2585312959905</v>
      </c>
      <c r="Y546" t="s">
        <v>25</v>
      </c>
    </row>
    <row r="547" spans="18:27">
      <c r="R547" s="97" t="s">
        <v>6581</v>
      </c>
      <c r="S547" s="93">
        <v>519135.75707200001</v>
      </c>
      <c r="X547" s="112"/>
    </row>
    <row r="548" spans="18:27">
      <c r="R548" s="97" t="s">
        <v>6587</v>
      </c>
      <c r="S548" s="93">
        <v>3406413.9029760002</v>
      </c>
      <c r="V548" s="94" t="s">
        <v>267</v>
      </c>
      <c r="W548" t="s">
        <v>4434</v>
      </c>
      <c r="Y548" t="s">
        <v>25</v>
      </c>
      <c r="AA548" t="s">
        <v>25</v>
      </c>
    </row>
    <row r="549" spans="18:27">
      <c r="R549" s="97" t="s">
        <v>6589</v>
      </c>
      <c r="S549" s="93">
        <v>435036.348168</v>
      </c>
      <c r="U549" s="112"/>
      <c r="V549" s="93">
        <v>200000000</v>
      </c>
      <c r="W549">
        <f>V549/U546</f>
        <v>85460.643482514657</v>
      </c>
      <c r="Y549" t="s">
        <v>25</v>
      </c>
    </row>
    <row r="550" spans="18:27">
      <c r="R550" s="97" t="s">
        <v>6628</v>
      </c>
      <c r="S550" s="93">
        <v>2321535.4633200001</v>
      </c>
      <c r="U550" t="s">
        <v>25</v>
      </c>
      <c r="Y550" t="s">
        <v>25</v>
      </c>
    </row>
    <row r="551" spans="18:27">
      <c r="R551" s="97" t="s">
        <v>6909</v>
      </c>
      <c r="S551" s="93">
        <v>1098146.8035800001</v>
      </c>
      <c r="U551" t="s">
        <v>25</v>
      </c>
      <c r="V551" s="94" t="s">
        <v>25</v>
      </c>
      <c r="W551" s="22"/>
      <c r="X551" s="212"/>
      <c r="Y551" s="268" t="s">
        <v>25</v>
      </c>
    </row>
    <row r="552" spans="18:27">
      <c r="R552" s="97" t="s">
        <v>6914</v>
      </c>
      <c r="S552" s="93">
        <v>540424.560405</v>
      </c>
      <c r="W552" t="s">
        <v>25</v>
      </c>
      <c r="X552" s="94" t="s">
        <v>25</v>
      </c>
      <c r="Y552" t="s">
        <v>25</v>
      </c>
    </row>
    <row r="553" spans="18:27">
      <c r="R553" s="97" t="s">
        <v>6916</v>
      </c>
      <c r="S553" s="93">
        <v>2781712.2405709997</v>
      </c>
      <c r="U553" t="s">
        <v>25</v>
      </c>
      <c r="X553" s="112"/>
      <c r="Y553" t="s">
        <v>25</v>
      </c>
    </row>
    <row r="554" spans="18:27">
      <c r="R554" s="97" t="s">
        <v>6919</v>
      </c>
      <c r="S554" s="93">
        <v>159680.86334900002</v>
      </c>
      <c r="U554" s="22"/>
      <c r="W554" s="212"/>
    </row>
    <row r="555" spans="18:27">
      <c r="R555" s="97" t="s">
        <v>6945</v>
      </c>
      <c r="S555" s="93">
        <v>13945790.265610002</v>
      </c>
      <c r="U555" s="22"/>
      <c r="X555" s="268"/>
    </row>
    <row r="556" spans="18:27">
      <c r="R556" s="97" t="s">
        <v>6947</v>
      </c>
      <c r="S556" s="93">
        <v>457914.84466800001</v>
      </c>
    </row>
    <row r="557" spans="18:27">
      <c r="R557" s="97" t="s">
        <v>6949</v>
      </c>
      <c r="S557" s="93">
        <v>974570.33942399989</v>
      </c>
    </row>
    <row r="558" spans="18:27">
      <c r="R558" s="97" t="s">
        <v>6951</v>
      </c>
      <c r="S558" s="93">
        <v>746198.52596400003</v>
      </c>
      <c r="U558" s="97" t="s">
        <v>4435</v>
      </c>
      <c r="V558" s="97" t="s">
        <v>4416</v>
      </c>
      <c r="W558" s="97" t="s">
        <v>936</v>
      </c>
      <c r="X558" s="411"/>
    </row>
    <row r="559" spans="18:27">
      <c r="R559" s="97" t="s">
        <v>6954</v>
      </c>
      <c r="S559" s="93">
        <v>416108</v>
      </c>
      <c r="U559" s="93">
        <f>T248+S319+S576</f>
        <v>2593894296.4549036</v>
      </c>
      <c r="V559" s="93">
        <f>S195</f>
        <v>10318684298</v>
      </c>
      <c r="W559" s="93">
        <f>V559-U559</f>
        <v>7724790001.5450964</v>
      </c>
    </row>
    <row r="560" spans="18:27">
      <c r="R560" s="97" t="s">
        <v>6969</v>
      </c>
      <c r="S560" s="93">
        <v>361620.57555000001</v>
      </c>
      <c r="X560" s="94" t="s">
        <v>25</v>
      </c>
    </row>
    <row r="561" spans="18:25">
      <c r="R561" s="97" t="s">
        <v>6970</v>
      </c>
      <c r="S561" s="93">
        <v>761310.51884999999</v>
      </c>
    </row>
    <row r="562" spans="18:25">
      <c r="R562" s="97" t="s">
        <v>6973</v>
      </c>
      <c r="S562" s="93">
        <v>3047100.3041699999</v>
      </c>
      <c r="U562" s="112"/>
      <c r="W562" s="112"/>
    </row>
    <row r="563" spans="18:25">
      <c r="R563" s="97" t="s">
        <v>6976</v>
      </c>
      <c r="S563" s="93">
        <v>2437078.451072</v>
      </c>
    </row>
    <row r="564" spans="18:25">
      <c r="R564" s="97" t="s">
        <v>7058</v>
      </c>
      <c r="S564" s="93">
        <v>7747639.4065840002</v>
      </c>
      <c r="U564" s="112"/>
    </row>
    <row r="565" spans="18:25">
      <c r="R565" s="97" t="s">
        <v>7060</v>
      </c>
      <c r="S565" s="93">
        <v>5584918.3522559991</v>
      </c>
    </row>
    <row r="566" spans="18:25">
      <c r="R566" s="97" t="s">
        <v>7061</v>
      </c>
      <c r="S566" s="93">
        <v>573666.77206800005</v>
      </c>
      <c r="U566" s="112" t="s">
        <v>25</v>
      </c>
    </row>
    <row r="567" spans="18:25">
      <c r="R567" s="97" t="s">
        <v>7074</v>
      </c>
      <c r="S567" s="93">
        <v>1870018.6536539998</v>
      </c>
      <c r="U567" t="s">
        <v>25</v>
      </c>
    </row>
    <row r="568" spans="18:25">
      <c r="R568" s="97" t="s">
        <v>7084</v>
      </c>
      <c r="S568" s="93">
        <v>117222.435308</v>
      </c>
      <c r="U568" t="s">
        <v>25</v>
      </c>
      <c r="Y568" s="112"/>
    </row>
    <row r="569" spans="18:25">
      <c r="R569" s="97" t="s">
        <v>7088</v>
      </c>
      <c r="S569" s="93">
        <v>1940857.6749900002</v>
      </c>
      <c r="X569" s="94" t="s">
        <v>25</v>
      </c>
    </row>
    <row r="570" spans="18:25">
      <c r="R570" s="97" t="s">
        <v>7127</v>
      </c>
      <c r="S570" s="93">
        <v>200000000</v>
      </c>
      <c r="U570" t="s">
        <v>25</v>
      </c>
    </row>
    <row r="571" spans="18:25">
      <c r="R571" s="97"/>
      <c r="S571" s="93"/>
      <c r="U571" t="s">
        <v>25</v>
      </c>
    </row>
    <row r="572" spans="18:25">
      <c r="R572" s="97"/>
      <c r="S572" s="93"/>
      <c r="U572" s="411" t="s">
        <v>25</v>
      </c>
      <c r="V572" s="411"/>
      <c r="W572" s="411"/>
    </row>
    <row r="573" spans="18:25">
      <c r="R573" s="97"/>
      <c r="S573" s="93"/>
      <c r="U573" s="411" t="s">
        <v>25</v>
      </c>
      <c r="V573" s="411"/>
      <c r="W573" s="411"/>
      <c r="X573" s="94" t="s">
        <v>25</v>
      </c>
    </row>
    <row r="574" spans="18:25">
      <c r="R574" s="97" t="s">
        <v>25</v>
      </c>
      <c r="S574" s="93"/>
      <c r="U574" s="411"/>
      <c r="V574" s="411"/>
      <c r="W574" s="411"/>
      <c r="Y574" t="s">
        <v>25</v>
      </c>
    </row>
    <row r="575" spans="18:25">
      <c r="R575" s="97" t="s">
        <v>25</v>
      </c>
      <c r="S575" s="97" t="s">
        <v>25</v>
      </c>
      <c r="U575" s="411"/>
      <c r="V575" s="411"/>
      <c r="W575" s="411" t="s">
        <v>25</v>
      </c>
    </row>
    <row r="576" spans="18:25">
      <c r="R576" s="97"/>
      <c r="S576" s="93">
        <f>SUM(S324:S575)</f>
        <v>2307413716.8896408</v>
      </c>
      <c r="U576" s="411"/>
      <c r="V576" s="411"/>
      <c r="W576" s="411"/>
    </row>
    <row r="577" spans="18:25">
      <c r="S577" s="97" t="s">
        <v>6</v>
      </c>
      <c r="U577" s="411"/>
      <c r="V577" s="411"/>
      <c r="W577" s="411"/>
    </row>
    <row r="578" spans="18:25">
      <c r="U578" s="411"/>
      <c r="V578" s="411"/>
      <c r="W578" s="411"/>
    </row>
    <row r="579" spans="18:25">
      <c r="R579" t="s">
        <v>25</v>
      </c>
      <c r="U579" s="411"/>
      <c r="V579" s="411"/>
      <c r="W579" s="411"/>
    </row>
    <row r="580" spans="18:25">
      <c r="R580" t="s">
        <v>25</v>
      </c>
      <c r="U580" s="411"/>
      <c r="V580" s="411"/>
      <c r="W580" s="411"/>
    </row>
    <row r="581" spans="18:25">
      <c r="R581" t="s">
        <v>25</v>
      </c>
      <c r="S581" t="s">
        <v>25</v>
      </c>
      <c r="U581" s="411"/>
      <c r="V581" s="411"/>
      <c r="W581" s="411"/>
    </row>
    <row r="582" spans="18:25">
      <c r="R582" t="s">
        <v>25</v>
      </c>
      <c r="S582" t="s">
        <v>25</v>
      </c>
      <c r="U582" s="411"/>
      <c r="V582" s="411"/>
      <c r="W582" s="411"/>
    </row>
    <row r="583" spans="18:25">
      <c r="R583" s="112"/>
      <c r="S583" t="s">
        <v>25</v>
      </c>
      <c r="U583" s="411"/>
      <c r="V583" s="411"/>
      <c r="W583" s="411"/>
      <c r="Y583" t="s">
        <v>25</v>
      </c>
    </row>
    <row r="584" spans="18:25">
      <c r="U584" s="411"/>
      <c r="V584" s="411"/>
      <c r="W584" s="411"/>
    </row>
    <row r="585" spans="18:25">
      <c r="S585" t="s">
        <v>25</v>
      </c>
      <c r="U585" s="411"/>
      <c r="V585" s="411"/>
      <c r="W585" s="411"/>
    </row>
    <row r="586" spans="18:25">
      <c r="R586" t="s">
        <v>25</v>
      </c>
      <c r="U586" s="411"/>
      <c r="V586" s="411"/>
      <c r="W586" s="411"/>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0:G1048576 G309:G315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3"/>
  <sheetViews>
    <sheetView topLeftCell="A10" zoomScale="80" zoomScaleNormal="80" workbookViewId="0">
      <selection activeCell="G41" sqref="G41:G4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9" si="0">C1*D1*0.99114/(F1*1.0037158)</f>
        <v>4102.0133326251707</v>
      </c>
      <c r="H1" s="381">
        <f t="shared" ref="H1:H45" si="1">C1/F1</f>
        <v>1.2452219935313142</v>
      </c>
      <c r="I1" s="382">
        <f>$R$31/$R$32</f>
        <v>1.0209580838323353</v>
      </c>
      <c r="J1" s="392">
        <f t="shared" ref="J1:J45" si="2">I1/H1</f>
        <v>0.81990045882261453</v>
      </c>
      <c r="K1" s="32">
        <f t="shared" ref="K1:K46" si="3">(1/J1-1.0256)*100</f>
        <v>19.406025172861852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1.0209580838323353</v>
      </c>
      <c r="J2" s="392">
        <f>I2/H2</f>
        <v>0.77419622246286912</v>
      </c>
      <c r="K2" s="32">
        <f t="shared" si="3"/>
        <v>26.606220524662994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1.0209580838323353</v>
      </c>
      <c r="J3" s="392">
        <f t="shared" si="2"/>
        <v>0.76702383239100602</v>
      </c>
      <c r="K3" s="32">
        <f t="shared" si="3"/>
        <v>27.814045469063032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13.005339435545386</v>
      </c>
      <c r="J4" s="32">
        <f t="shared" si="2"/>
        <v>0.8168474181123937</v>
      </c>
      <c r="K4" s="32">
        <f t="shared" si="3"/>
        <v>19.861884164222875</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13.005339435545386</v>
      </c>
      <c r="J5" s="32">
        <f t="shared" si="2"/>
        <v>0.80473098723120562</v>
      </c>
      <c r="K5" s="32">
        <f t="shared" si="3"/>
        <v>21.705129076319764</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13.005339435545386</v>
      </c>
      <c r="J6" s="32">
        <f t="shared" si="2"/>
        <v>0.7980137001925478</v>
      </c>
      <c r="K6" s="32">
        <f t="shared" si="3"/>
        <v>22.751131846322448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13.005339435545386</v>
      </c>
      <c r="J7" s="32">
        <f t="shared" ref="J7:J9" si="7">I7/H7</f>
        <v>0.79534157402264272</v>
      </c>
      <c r="K7" s="32">
        <f t="shared" ref="K7:K9" si="8">(1/J7-1.0256)*100</f>
        <v>23.172142347626192</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13.005339435545386</v>
      </c>
      <c r="J8" s="32">
        <f t="shared" si="7"/>
        <v>0.85959882103649832</v>
      </c>
      <c r="K8" s="32">
        <f t="shared" si="8"/>
        <v>13.773337776592909</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13.005339435545386</v>
      </c>
      <c r="J9" s="32">
        <f t="shared" si="7"/>
        <v>0.8085104664542283</v>
      </c>
      <c r="K9" s="32">
        <f t="shared" si="8"/>
        <v>21.124236814590745</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13.005339435545386</v>
      </c>
      <c r="J10" s="32">
        <f>I10/H10</f>
        <v>0.79591345661544199</v>
      </c>
      <c r="K10" s="32">
        <f t="shared" ref="K10" si="10">(1/J10-1.0256)*100</f>
        <v>23.081800837545785</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12.738367658276125</v>
      </c>
      <c r="J11" s="392">
        <f>I11/H11</f>
        <v>1.2357959281427371</v>
      </c>
      <c r="K11" s="392">
        <f>(1/J11-1.0256)*100</f>
        <v>-21.64049078112048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12.738367658276125</v>
      </c>
      <c r="J12" s="392">
        <f t="shared" si="2"/>
        <v>1.2253382636246071</v>
      </c>
      <c r="K12" s="392">
        <f t="shared" si="3"/>
        <v>-20.94988223203331</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12.738367658276125</v>
      </c>
      <c r="J13" s="392">
        <f t="shared" si="2"/>
        <v>1.2135355307875926</v>
      </c>
      <c r="K13" s="392">
        <f t="shared" si="3"/>
        <v>-20.156149875315698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12.738367658276125</v>
      </c>
      <c r="J14" s="392">
        <f t="shared" si="2"/>
        <v>1.1977199819293016</v>
      </c>
      <c r="K14" s="392">
        <f t="shared" si="3"/>
        <v>-19.068030667636691</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12.738367658276125</v>
      </c>
      <c r="J15" s="392">
        <f t="shared" si="2"/>
        <v>1.2074969080011415</v>
      </c>
      <c r="K15" s="392">
        <f t="shared" si="3"/>
        <v>-19.744052946738101</v>
      </c>
      <c r="L15" s="392"/>
      <c r="M15" s="392" t="s">
        <v>25</v>
      </c>
      <c r="N15" s="392">
        <f t="shared" si="13"/>
        <v>0.99190314608090857</v>
      </c>
      <c r="O15" s="40"/>
      <c r="P15" s="40"/>
      <c r="Q15" s="97">
        <v>29990.36</v>
      </c>
      <c r="R15" s="97">
        <v>96433</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12.738367658276125</v>
      </c>
      <c r="J16" s="392">
        <f t="shared" si="2"/>
        <v>1.1774587613538476</v>
      </c>
      <c r="K16" s="392">
        <f t="shared" si="3"/>
        <v>-17.631335589690188</v>
      </c>
      <c r="L16" s="392"/>
      <c r="M16" s="392"/>
      <c r="N16" s="392">
        <f t="shared" si="13"/>
        <v>1.0255109967611571</v>
      </c>
      <c r="O16" s="40"/>
      <c r="P16" s="40"/>
      <c r="Q16" s="97">
        <f>Q15*R16/R15</f>
        <v>2304.4867172026175</v>
      </c>
      <c r="R16" s="97">
        <v>7410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12.738367658276125</v>
      </c>
      <c r="J17" s="392">
        <f t="shared" si="2"/>
        <v>1.1547969981913204</v>
      </c>
      <c r="K17" s="392">
        <f t="shared" si="3"/>
        <v>-15.964693503167094</v>
      </c>
      <c r="L17" s="392"/>
      <c r="M17" s="392"/>
      <c r="N17" s="392">
        <f t="shared" si="13"/>
        <v>1.019624023268177</v>
      </c>
      <c r="O17" s="40"/>
      <c r="P17" s="40"/>
      <c r="Q17" s="97">
        <f>Q15-Q16</f>
        <v>27685.873282797384</v>
      </c>
      <c r="R17" s="97">
        <f>R15-R16</f>
        <v>89023</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12.738367658276125</v>
      </c>
      <c r="J18" s="392">
        <f t="shared" si="2"/>
        <v>1.133164263970613</v>
      </c>
      <c r="K18" s="392">
        <f t="shared" si="3"/>
        <v>-14.31154107878454</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12.738367658276125</v>
      </c>
      <c r="J19" s="392">
        <f t="shared" si="2"/>
        <v>1.1245891378382986</v>
      </c>
      <c r="K19" s="392">
        <f t="shared" si="3"/>
        <v>-13.638636067727427</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12.738367658276125</v>
      </c>
      <c r="J20" s="392">
        <f>I20/H20</f>
        <v>1.1038950308198239</v>
      </c>
      <c r="K20" s="392">
        <f t="shared" si="3"/>
        <v>-11.971676646706598</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12.738367658276125</v>
      </c>
      <c r="J21" s="392">
        <f t="shared" si="2"/>
        <v>1.0355632450271222</v>
      </c>
      <c r="K21" s="392">
        <f t="shared" si="3"/>
        <v>-5.9941934399372006</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12.738367658276125</v>
      </c>
      <c r="J22" s="392">
        <f>I22/H22</f>
        <v>1.0382340445493561</v>
      </c>
      <c r="K22" s="392">
        <f t="shared" ref="K22" si="14">(1/J22-1.0256)*100</f>
        <v>-6.2426036239209948</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12.738367658276125</v>
      </c>
      <c r="J23" s="392">
        <f t="shared" ref="J23" si="15">I23/H23</f>
        <v>1.0242026871034384</v>
      </c>
      <c r="K23" s="392">
        <f t="shared" ref="K23" si="16">(1/J23-1.0256)*100</f>
        <v>-4.9230759231736148</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12.738367658276125</v>
      </c>
      <c r="J24" s="392">
        <f t="shared" ref="J24:J25" si="18">I24/H24</f>
        <v>1.014391278764728</v>
      </c>
      <c r="K24" s="392">
        <f t="shared" ref="K24:K25" si="19">(1/J24-1.0256)*100</f>
        <v>-3.978710813666797</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12.738367658276125</v>
      </c>
      <c r="J25" s="392">
        <f t="shared" si="18"/>
        <v>1.014821042294322</v>
      </c>
      <c r="K25" s="392">
        <f t="shared" si="19"/>
        <v>-4.0204587091350108</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4" si="23">$R$28/$R$29</f>
        <v>3.1666666666666665</v>
      </c>
      <c r="J26" s="392">
        <f>I26/H26</f>
        <v>1.1758266943291837</v>
      </c>
      <c r="K26" s="392">
        <f>(1/J26-1.0256)*100</f>
        <v>-17.51345318975719</v>
      </c>
      <c r="L26" s="392"/>
      <c r="M26" s="392"/>
      <c r="N26" s="392">
        <f>1</f>
        <v>1</v>
      </c>
      <c r="O26" s="397">
        <f t="shared" ref="O26:O28" si="24">F26-C26</f>
        <v>-757.56700000000001</v>
      </c>
      <c r="P26" s="397">
        <f>R29-R28</f>
        <v>-897</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3.1666666666666665</v>
      </c>
      <c r="J27" s="392">
        <f t="shared" ref="J27" si="25">I27/H27</f>
        <v>1.1649791836734693</v>
      </c>
      <c r="K27" s="392">
        <f>(1/J27-1.0256)*100</f>
        <v>-16.721556359595112</v>
      </c>
      <c r="L27" s="392"/>
      <c r="M27" s="392"/>
      <c r="N27" s="392">
        <f>H27/H26</f>
        <v>1.0093113343205924</v>
      </c>
      <c r="O27" s="397">
        <f t="shared" si="24"/>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3.1666666666666665</v>
      </c>
      <c r="J28" s="392">
        <f t="shared" ref="J28" si="26">I28/H28</f>
        <v>1.1398903171182264</v>
      </c>
      <c r="K28" s="392">
        <f t="shared" ref="K28" si="27">(1/J28-1.0256)*100</f>
        <v>-14.832261200699136</v>
      </c>
      <c r="L28" s="392"/>
      <c r="M28" s="392"/>
      <c r="N28" s="392">
        <f t="shared" ref="N28" si="28">H28/H27</f>
        <v>1.0220098953192887</v>
      </c>
      <c r="O28" s="397">
        <f t="shared" si="24"/>
        <v>-831.53300000000013</v>
      </c>
      <c r="P28" s="40"/>
      <c r="Q28" s="97" t="s">
        <v>4216</v>
      </c>
      <c r="R28" s="276">
        <v>1311</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3.1666666666666665</v>
      </c>
      <c r="J29" s="392">
        <f t="shared" ref="J29" si="29">I29/H29</f>
        <v>1.1199225580209131</v>
      </c>
      <c r="K29" s="392">
        <f t="shared" ref="K29" si="30">(1/J29-1.0256)*100</f>
        <v>-13.268111660223724</v>
      </c>
      <c r="L29" s="392"/>
      <c r="M29" s="392"/>
      <c r="N29" s="392">
        <f t="shared" ref="N29" si="31">H29/H28</f>
        <v>1.0178295891571285</v>
      </c>
      <c r="O29" s="397">
        <f t="shared" ref="O29" si="32">F29-C29</f>
        <v>-844.76670000000001</v>
      </c>
      <c r="P29" s="40"/>
      <c r="Q29" s="97" t="s">
        <v>5261</v>
      </c>
      <c r="R29" s="286">
        <v>414</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3.1666666666666665</v>
      </c>
      <c r="J30" s="392">
        <f t="shared" ref="J30" si="33">I30/H30</f>
        <v>1.1183770205329839</v>
      </c>
      <c r="K30" s="392">
        <f t="shared" ref="K30:K31" si="34">(1/J30-1.0256)*100</f>
        <v>-13.144715025400755</v>
      </c>
      <c r="L30" s="392"/>
      <c r="M30" s="392"/>
      <c r="N30" s="392">
        <f t="shared" ref="N30:N31" si="35">H30/H29</f>
        <v>1.0013819467492211</v>
      </c>
      <c r="O30" s="397">
        <f>F30-C30</f>
        <v>-987.06</v>
      </c>
      <c r="P30" s="40"/>
      <c r="Q30" s="97" t="s">
        <v>5790</v>
      </c>
      <c r="R30" s="343">
        <v>1317</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3.1666666666666665</v>
      </c>
      <c r="J31" s="392">
        <f>I31/H31</f>
        <v>1.1151556689342403</v>
      </c>
      <c r="K31" s="392">
        <f t="shared" si="34"/>
        <v>-12.886420978005276</v>
      </c>
      <c r="L31" s="392"/>
      <c r="M31" s="392"/>
      <c r="N31" s="392">
        <f t="shared" si="35"/>
        <v>1.0028887012714756</v>
      </c>
      <c r="O31" s="397">
        <f>F31-C31</f>
        <v>-952.33299999999997</v>
      </c>
      <c r="P31" s="40"/>
      <c r="Q31" s="97" t="s">
        <v>4358</v>
      </c>
      <c r="R31" s="275">
        <v>17050</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3.1666666666666665</v>
      </c>
      <c r="J32" s="392">
        <f t="shared" ref="J32:J33" si="36">I32/H32</f>
        <v>1.0986676418932038</v>
      </c>
      <c r="K32" s="392">
        <f t="shared" ref="K32:K33" si="37">(1/J32-1.0256)*100</f>
        <v>-11.540663317177668</v>
      </c>
      <c r="L32" s="392"/>
      <c r="M32" s="392"/>
      <c r="N32" s="392">
        <f t="shared" ref="N32:N33" si="38">H32/H31</f>
        <v>1.0150072928448359</v>
      </c>
      <c r="O32" s="397">
        <f t="shared" ref="O32:O36" si="39">F32-C32</f>
        <v>-964.28399999999988</v>
      </c>
      <c r="P32" s="40"/>
      <c r="Q32" s="97" t="s">
        <v>4354</v>
      </c>
      <c r="R32" s="285">
        <v>16700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3.1666666666666665</v>
      </c>
      <c r="J33" s="392">
        <f t="shared" si="36"/>
        <v>1.0787566666666668</v>
      </c>
      <c r="K33" s="392">
        <f t="shared" si="37"/>
        <v>-9.8606887558825633</v>
      </c>
      <c r="L33" s="392"/>
      <c r="M33" s="392"/>
      <c r="N33" s="392">
        <f t="shared" si="38"/>
        <v>1.0184573368969867</v>
      </c>
      <c r="O33" s="397">
        <f t="shared" si="39"/>
        <v>-989.01</v>
      </c>
      <c r="P33" s="40"/>
      <c r="Q33" s="97" t="s">
        <v>4652</v>
      </c>
      <c r="R33" s="434">
        <v>765</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3.1666666666666665</v>
      </c>
      <c r="J34" s="392">
        <f t="shared" ref="J34" si="40">I34/H34</f>
        <v>1.058192570677186</v>
      </c>
      <c r="K34" s="392">
        <f t="shared" ref="K34" si="41">(1/J34-1.0256)*100</f>
        <v>-8.0592420368200024</v>
      </c>
      <c r="L34" s="392"/>
      <c r="M34" s="392"/>
      <c r="N34" s="392">
        <f t="shared" ref="N34" si="42">H34/H33</f>
        <v>1.0194332265783352</v>
      </c>
      <c r="O34" s="397">
        <f t="shared" si="39"/>
        <v>-1012.7334000000001</v>
      </c>
      <c r="P34" s="40"/>
      <c r="Q34" s="67" t="s">
        <v>1068</v>
      </c>
      <c r="R34" s="344">
        <v>11750000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3.1666666666666665</v>
      </c>
      <c r="J35" s="392">
        <f t="shared" ref="J35" si="43">I35/H35</f>
        <v>1.0570450655400283</v>
      </c>
      <c r="K35" s="392">
        <f t="shared" ref="K35" si="44">(1/J35-1.0256)*100</f>
        <v>-7.9566540689431147</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3.1666666666666665</v>
      </c>
      <c r="J36" s="288">
        <f>I36/H36</f>
        <v>1.0119591194968554</v>
      </c>
      <c r="K36" s="392">
        <f t="shared" ref="K36" si="46">(1/J36-1.0256)*100</f>
        <v>-3.741778914429017</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3.1666666666666665</v>
      </c>
      <c r="J37" s="288">
        <f t="shared" ref="J37" si="48">I37/H37</f>
        <v>0.97498574483250189</v>
      </c>
      <c r="K37" s="392">
        <f t="shared" ref="K37" si="49">(1/J37-1.0256)*100</f>
        <v>5.6021434236885881E-3</v>
      </c>
      <c r="L37" s="392"/>
      <c r="M37" s="392"/>
      <c r="N37" s="392">
        <f t="shared" ref="N37" si="50">H37/H36</f>
        <v>1.0379219643572382</v>
      </c>
      <c r="O37" s="397">
        <f t="shared" ref="O37" si="51">F37-C37</f>
        <v>-971.03</v>
      </c>
      <c r="P37" s="40"/>
    </row>
    <row r="38" spans="1:25" ht="18.75">
      <c r="A38" s="396" t="s">
        <v>7120</v>
      </c>
      <c r="B38" s="386" t="s">
        <v>4216</v>
      </c>
      <c r="C38" s="383">
        <v>1400</v>
      </c>
      <c r="D38" s="386">
        <v>27685.874</v>
      </c>
      <c r="E38" s="388" t="s">
        <v>5261</v>
      </c>
      <c r="F38" s="387">
        <v>430</v>
      </c>
      <c r="G38" s="292">
        <f>C38*D38*0.9912/(F38*1.003631981)</f>
        <v>89023.490773700425</v>
      </c>
      <c r="H38" s="409">
        <f t="shared" si="22"/>
        <v>3.2558139534883721</v>
      </c>
      <c r="I38" s="389">
        <f t="shared" si="23"/>
        <v>3.1666666666666665</v>
      </c>
      <c r="J38" s="288">
        <f t="shared" ref="J38" si="52">I38/H38</f>
        <v>0.97261904761904761</v>
      </c>
      <c r="K38" s="392">
        <f t="shared" ref="K38" si="53">(1/J38-1.0256)*100</f>
        <v>0.25517747858017081</v>
      </c>
      <c r="L38" s="392"/>
      <c r="M38" s="392"/>
      <c r="N38" s="392">
        <f t="shared" ref="N38" si="54">H38/H37</f>
        <v>1.0024333239403938</v>
      </c>
      <c r="O38" s="397">
        <f t="shared" ref="O38" si="55">F38-C38</f>
        <v>-970</v>
      </c>
      <c r="P38" s="40"/>
    </row>
    <row r="39" spans="1:25" ht="18.75">
      <c r="A39" s="496" t="s">
        <v>7130</v>
      </c>
      <c r="B39" s="386" t="s">
        <v>4216</v>
      </c>
      <c r="C39" s="383">
        <v>1307</v>
      </c>
      <c r="D39" s="386">
        <v>3000</v>
      </c>
      <c r="E39" s="388" t="s">
        <v>5261</v>
      </c>
      <c r="F39" s="387">
        <v>402.9</v>
      </c>
      <c r="G39" s="292">
        <f>C39*D39*0.9912/(F39*1.003631981)</f>
        <v>9611.3939082069537</v>
      </c>
      <c r="H39" s="409">
        <f t="shared" ref="H39" si="56">C39/F39</f>
        <v>3.2439811367585012</v>
      </c>
      <c r="I39" s="389">
        <f t="shared" si="23"/>
        <v>3.1666666666666665</v>
      </c>
      <c r="J39" s="288">
        <f t="shared" ref="J39" si="57">I39/H39</f>
        <v>0.97616679418515673</v>
      </c>
      <c r="K39" s="392">
        <f t="shared" ref="K39" si="58">(1/J39-1.0256)*100</f>
        <v>-0.11849041815259476</v>
      </c>
      <c r="L39" s="392"/>
      <c r="M39" s="392"/>
      <c r="N39" s="392">
        <f>H39/H40</f>
        <v>0.99267321159469146</v>
      </c>
      <c r="O39" s="397">
        <f t="shared" ref="O39" si="59">F39-C39</f>
        <v>-904.1</v>
      </c>
      <c r="P39" s="40"/>
      <c r="R39" t="s">
        <v>25</v>
      </c>
    </row>
    <row r="40" spans="1:25" ht="18.75">
      <c r="A40" s="396" t="s">
        <v>7130</v>
      </c>
      <c r="B40" s="386" t="s">
        <v>4216</v>
      </c>
      <c r="C40" s="383">
        <v>1299</v>
      </c>
      <c r="D40" s="386">
        <v>12384</v>
      </c>
      <c r="E40" s="388" t="s">
        <v>5261</v>
      </c>
      <c r="F40" s="387">
        <v>397.5</v>
      </c>
      <c r="G40" s="292">
        <f>C40*D40*0.9912/(F40*1.003631981)</f>
        <v>39968.676085597799</v>
      </c>
      <c r="H40" s="409">
        <f t="shared" ref="H40:H42" si="60">C40/F40</f>
        <v>3.267924528301887</v>
      </c>
      <c r="I40" s="389">
        <f t="shared" si="23"/>
        <v>3.1666666666666665</v>
      </c>
      <c r="J40" s="288">
        <f t="shared" ref="J40" si="61">I40/H40</f>
        <v>0.96901462663587368</v>
      </c>
      <c r="K40" s="392">
        <f t="shared" ref="K40" si="62">(1/J40-1.0256)*100</f>
        <v>0.63761668321746789</v>
      </c>
      <c r="L40" s="392"/>
      <c r="M40" s="392"/>
      <c r="N40" s="392">
        <f>H40/H38</f>
        <v>1.0037196765498653</v>
      </c>
      <c r="O40" s="397">
        <f t="shared" ref="O40" si="63">F40-C40</f>
        <v>-901.5</v>
      </c>
      <c r="P40" s="40"/>
      <c r="Q40" s="486" t="s">
        <v>25</v>
      </c>
    </row>
    <row r="41" spans="1:25" ht="18.75" customHeight="1">
      <c r="A41" s="396" t="s">
        <v>7134</v>
      </c>
      <c r="B41" s="386" t="s">
        <v>4216</v>
      </c>
      <c r="C41" s="383">
        <v>1309</v>
      </c>
      <c r="D41" s="386">
        <v>4359</v>
      </c>
      <c r="E41" s="388" t="s">
        <v>5261</v>
      </c>
      <c r="F41" s="387">
        <v>398.6</v>
      </c>
      <c r="G41" s="292">
        <f>C41*D41*0.9912/(F41*1.003631981)</f>
        <v>14137.610838352766</v>
      </c>
      <c r="H41" s="409">
        <f t="shared" si="60"/>
        <v>3.2839939789262416</v>
      </c>
      <c r="I41" s="389">
        <f t="shared" si="23"/>
        <v>3.1666666666666665</v>
      </c>
      <c r="J41" s="288">
        <f t="shared" ref="J41" si="64">I41/H41</f>
        <v>0.96427298192004074</v>
      </c>
      <c r="K41" s="392">
        <f t="shared" ref="K41" si="65">(1/J41-1.0256)*100</f>
        <v>1.1450730187234193</v>
      </c>
      <c r="L41" s="392"/>
      <c r="M41" s="392"/>
      <c r="N41" s="392">
        <f>H41/H39</f>
        <v>1.0123344866942483</v>
      </c>
      <c r="O41" s="397">
        <f t="shared" ref="O41" si="66">F41-C41</f>
        <v>-910.4</v>
      </c>
      <c r="P41" s="40"/>
      <c r="Q41" t="s">
        <v>25</v>
      </c>
      <c r="R41" t="s">
        <v>25</v>
      </c>
    </row>
    <row r="42" spans="1:25" ht="21.75" customHeight="1">
      <c r="A42" s="396" t="s">
        <v>7135</v>
      </c>
      <c r="B42" s="386" t="s">
        <v>4216</v>
      </c>
      <c r="C42" s="383">
        <v>1312</v>
      </c>
      <c r="D42" s="386">
        <v>2745</v>
      </c>
      <c r="E42" s="388" t="s">
        <v>5261</v>
      </c>
      <c r="F42" s="387">
        <v>398.5</v>
      </c>
      <c r="G42" s="292">
        <f>C42*D42*0.9912/(F42*1.003631981)</f>
        <v>8925.5432689544359</v>
      </c>
      <c r="H42" s="409">
        <f t="shared" si="60"/>
        <v>3.2923462986198242</v>
      </c>
      <c r="I42" s="389">
        <f t="shared" si="23"/>
        <v>3.1666666666666665</v>
      </c>
      <c r="J42" s="288">
        <f t="shared" ref="J42" si="67">I42/H42</f>
        <v>0.96182672764227639</v>
      </c>
      <c r="K42" s="392">
        <f t="shared" ref="K42" si="68">(1/J42-1.0256)*100</f>
        <v>1.4088304827312825</v>
      </c>
      <c r="L42" s="392"/>
      <c r="M42" s="392"/>
      <c r="N42" s="392">
        <f>H42/H40</f>
        <v>1.007473174519923</v>
      </c>
      <c r="O42" s="397">
        <f t="shared" ref="O42" si="69">F42-C42</f>
        <v>-913.5</v>
      </c>
      <c r="P42" s="40"/>
      <c r="R42" t="s">
        <v>25</v>
      </c>
    </row>
    <row r="43" spans="1:25" ht="18.75">
      <c r="A43" s="396" t="s">
        <v>7136</v>
      </c>
      <c r="B43" s="386" t="s">
        <v>4216</v>
      </c>
      <c r="C43" s="383">
        <v>1315</v>
      </c>
      <c r="D43" s="386">
        <v>1500</v>
      </c>
      <c r="E43" s="388" t="s">
        <v>5261</v>
      </c>
      <c r="F43" s="387">
        <v>398.7</v>
      </c>
      <c r="G43" s="292">
        <f>C43*D43*0.9912/(F43*1.003631981)</f>
        <v>4886.0462977379284</v>
      </c>
      <c r="H43" s="409">
        <f t="shared" ref="H43" si="70">C43/F43</f>
        <v>3.2982192124404315</v>
      </c>
      <c r="I43" s="389">
        <f t="shared" si="23"/>
        <v>3.1666666666666665</v>
      </c>
      <c r="J43" s="288">
        <f t="shared" ref="J43" si="71">I43/H43</f>
        <v>0.96011406844106462</v>
      </c>
      <c r="K43" s="392">
        <f t="shared" ref="K43" si="72">(1/J43-1.0256)*100</f>
        <v>1.5942909191715149</v>
      </c>
      <c r="L43" s="392"/>
      <c r="M43" s="392"/>
      <c r="N43" s="392">
        <f>H43/H41</f>
        <v>1.0043316868439696</v>
      </c>
      <c r="O43" s="397">
        <f t="shared" ref="O43" si="73">F43-C43</f>
        <v>-916.3</v>
      </c>
      <c r="P43" s="40"/>
      <c r="Q43" s="486" t="s">
        <v>25</v>
      </c>
      <c r="R43" t="s">
        <v>25</v>
      </c>
      <c r="S43" s="467"/>
      <c r="T43" s="467"/>
    </row>
    <row r="44" spans="1:25" ht="18.75" customHeight="1">
      <c r="A44" s="396" t="s">
        <v>7137</v>
      </c>
      <c r="B44" s="386" t="s">
        <v>4216</v>
      </c>
      <c r="C44" s="383">
        <v>1300</v>
      </c>
      <c r="D44" s="386">
        <v>5000</v>
      </c>
      <c r="E44" s="388" t="s">
        <v>5261</v>
      </c>
      <c r="F44" s="387">
        <v>390.2</v>
      </c>
      <c r="G44" s="292">
        <f>C44*D44*0.9912/(F44*1.003631981)</f>
        <v>16451.77999505337</v>
      </c>
      <c r="H44" s="409">
        <f t="shared" ref="H44" si="74">C44/F44</f>
        <v>3.3316248077908766</v>
      </c>
      <c r="I44" s="389">
        <f t="shared" si="23"/>
        <v>3.1666666666666665</v>
      </c>
      <c r="J44" s="288">
        <f t="shared" ref="J44" si="75">I44/H44</f>
        <v>0.95048717948717942</v>
      </c>
      <c r="K44" s="392">
        <f t="shared" ref="K44" si="76">(1/J44-1.0256)*100</f>
        <v>2.6492044565539885</v>
      </c>
      <c r="L44" s="392"/>
      <c r="M44" s="392"/>
      <c r="N44" s="392">
        <f>H44/H42</f>
        <v>1.0119302484029453</v>
      </c>
      <c r="O44" s="397">
        <f t="shared" ref="O44" si="77">F44-C44</f>
        <v>-909.8</v>
      </c>
      <c r="P44" s="40"/>
      <c r="Q44" s="470"/>
      <c r="R44" s="470"/>
      <c r="S44" s="470"/>
      <c r="T44" s="470"/>
      <c r="X44" s="480"/>
    </row>
    <row r="45" spans="1:25" ht="20.25" customHeight="1">
      <c r="A45" s="381" t="s">
        <v>5759</v>
      </c>
      <c r="B45" s="381" t="s">
        <v>4354</v>
      </c>
      <c r="C45" s="380">
        <v>11624</v>
      </c>
      <c r="D45" s="381">
        <v>8930</v>
      </c>
      <c r="E45" s="388" t="s">
        <v>6972</v>
      </c>
      <c r="F45" s="387">
        <v>394</v>
      </c>
      <c r="G45" s="388">
        <f t="shared" si="0"/>
        <v>260156.73964975364</v>
      </c>
      <c r="H45" s="388">
        <f t="shared" si="1"/>
        <v>29.502538071065988</v>
      </c>
      <c r="I45" s="388">
        <f>$R$32/$R$29</f>
        <v>40.338164251207729</v>
      </c>
      <c r="J45" s="32">
        <f t="shared" si="2"/>
        <v>1.3672777628162289</v>
      </c>
      <c r="K45" s="32">
        <f t="shared" si="3"/>
        <v>-29.421971488495092</v>
      </c>
      <c r="L45" s="32"/>
      <c r="M45" s="32"/>
      <c r="N45" s="392">
        <v>1</v>
      </c>
      <c r="O45" s="40"/>
      <c r="P45" s="397" t="s">
        <v>25</v>
      </c>
      <c r="Q45" s="470"/>
      <c r="R45" s="470" t="s">
        <v>25</v>
      </c>
      <c r="S45" s="470"/>
      <c r="T45" s="470"/>
      <c r="X45" s="480"/>
    </row>
    <row r="46" spans="1:25" ht="21">
      <c r="A46" s="381" t="s">
        <v>5760</v>
      </c>
      <c r="B46" s="381" t="s">
        <v>4354</v>
      </c>
      <c r="C46" s="380">
        <v>11612</v>
      </c>
      <c r="D46" s="381">
        <v>352</v>
      </c>
      <c r="E46" s="388" t="s">
        <v>6972</v>
      </c>
      <c r="F46" s="387">
        <v>389</v>
      </c>
      <c r="G46" s="388">
        <f t="shared" si="0"/>
        <v>10375.865470549827</v>
      </c>
      <c r="H46" s="388">
        <f t="shared" ref="H46:H50" si="78">C46/F46</f>
        <v>29.85089974293059</v>
      </c>
      <c r="I46" s="388">
        <f>$R$32/$R$29</f>
        <v>40.338164251207729</v>
      </c>
      <c r="J46" s="32">
        <f t="shared" ref="J46" si="79">I46/H46</f>
        <v>1.3513215547467969</v>
      </c>
      <c r="K46" s="398">
        <f t="shared" si="3"/>
        <v>-28.558368301956506</v>
      </c>
      <c r="L46" s="32" t="s">
        <v>25</v>
      </c>
      <c r="M46" s="32" t="s">
        <v>25</v>
      </c>
      <c r="N46" s="32">
        <f>H46/H45</f>
        <v>1.0118078543285145</v>
      </c>
      <c r="O46" s="40"/>
      <c r="P46" s="40" t="s">
        <v>25</v>
      </c>
      <c r="Q46" s="470"/>
      <c r="R46" s="470" t="s">
        <v>25</v>
      </c>
      <c r="S46" s="470"/>
      <c r="T46" s="470"/>
    </row>
    <row r="47" spans="1:25" ht="21">
      <c r="A47" s="399" t="s">
        <v>6612</v>
      </c>
      <c r="B47" s="399" t="s">
        <v>5845</v>
      </c>
      <c r="C47" s="390">
        <v>3112</v>
      </c>
      <c r="D47" s="399">
        <v>200</v>
      </c>
      <c r="E47" s="386" t="s">
        <v>4216</v>
      </c>
      <c r="F47" s="386">
        <v>1613</v>
      </c>
      <c r="G47" s="386">
        <f t="shared" si="0"/>
        <v>381.03025333950779</v>
      </c>
      <c r="H47" s="386">
        <f t="shared" ref="H47:H49" si="80">C47/F47</f>
        <v>1.9293242405455673</v>
      </c>
      <c r="I47" s="386">
        <f>$R$27/$R$28</f>
        <v>2.2944317315026699</v>
      </c>
      <c r="J47" s="32">
        <f t="shared" ref="J47:J50" si="81">I47/H47</f>
        <v>1.1892411256149764</v>
      </c>
      <c r="K47" s="398">
        <f t="shared" ref="K47:K50" si="82">(1/J47-1.0256)*100</f>
        <v>-18.472763319307241</v>
      </c>
      <c r="L47" s="32" t="s">
        <v>25</v>
      </c>
      <c r="M47" s="32" t="s">
        <v>25</v>
      </c>
      <c r="N47" s="32">
        <v>1</v>
      </c>
      <c r="O47" s="40"/>
      <c r="P47" s="40" t="s">
        <v>25</v>
      </c>
      <c r="Q47" s="437"/>
      <c r="R47" t="s">
        <v>25</v>
      </c>
      <c r="T47" t="s">
        <v>25</v>
      </c>
    </row>
    <row r="48" spans="1:25" ht="21">
      <c r="A48" s="399" t="s">
        <v>6612</v>
      </c>
      <c r="B48" s="399" t="s">
        <v>5845</v>
      </c>
      <c r="C48" s="390">
        <v>3178</v>
      </c>
      <c r="D48" s="399">
        <v>6860</v>
      </c>
      <c r="E48" s="388" t="s">
        <v>5261</v>
      </c>
      <c r="F48" s="388">
        <v>568.29999999999995</v>
      </c>
      <c r="G48" s="388">
        <f t="shared" si="0"/>
        <v>37881.275651587544</v>
      </c>
      <c r="H48" s="388">
        <f t="shared" si="80"/>
        <v>5.5921168396973435</v>
      </c>
      <c r="I48" s="388">
        <f>$R$27/$R$29</f>
        <v>7.2657004830917877</v>
      </c>
      <c r="J48" s="32">
        <f t="shared" si="81"/>
        <v>1.2992755143301016</v>
      </c>
      <c r="K48" s="398">
        <f t="shared" si="82"/>
        <v>-25.594030198314499</v>
      </c>
      <c r="L48" s="32" t="s">
        <v>25</v>
      </c>
      <c r="M48" s="32" t="s">
        <v>25</v>
      </c>
      <c r="N48" s="32">
        <v>1</v>
      </c>
      <c r="O48" s="40"/>
      <c r="P48" s="40" t="s">
        <v>25</v>
      </c>
      <c r="Q48" s="437"/>
    </row>
    <row r="49" spans="1:23" ht="21">
      <c r="A49" s="386" t="s">
        <v>7066</v>
      </c>
      <c r="B49" s="386" t="s">
        <v>4216</v>
      </c>
      <c r="C49" s="383">
        <v>1480</v>
      </c>
      <c r="D49" s="386">
        <v>1</v>
      </c>
      <c r="E49" s="433" t="s">
        <v>4652</v>
      </c>
      <c r="F49" s="433">
        <v>776</v>
      </c>
      <c r="G49" s="433">
        <f t="shared" si="0"/>
        <v>1.8833205143338694</v>
      </c>
      <c r="H49" s="433">
        <f t="shared" si="80"/>
        <v>1.9072164948453609</v>
      </c>
      <c r="I49" s="433">
        <f>$R$28/$R$33</f>
        <v>1.7137254901960783</v>
      </c>
      <c r="J49" s="32">
        <f t="shared" si="81"/>
        <v>0.89854795972443025</v>
      </c>
      <c r="K49" s="398">
        <f t="shared" si="82"/>
        <v>8.7306650310222</v>
      </c>
      <c r="L49" s="32" t="s">
        <v>25</v>
      </c>
      <c r="M49" s="32" t="s">
        <v>25</v>
      </c>
      <c r="N49" s="32">
        <v>1</v>
      </c>
      <c r="O49" s="40"/>
      <c r="P49" s="40"/>
      <c r="Q49" s="437" t="s">
        <v>25</v>
      </c>
      <c r="S49" t="s">
        <v>25</v>
      </c>
    </row>
    <row r="50" spans="1:23">
      <c r="A50" s="386" t="s">
        <v>6922</v>
      </c>
      <c r="B50" s="386" t="s">
        <v>4216</v>
      </c>
      <c r="C50" s="383">
        <v>1538.5</v>
      </c>
      <c r="D50" s="386">
        <v>1</v>
      </c>
      <c r="E50" s="400" t="s">
        <v>5790</v>
      </c>
      <c r="F50" s="400">
        <v>1353</v>
      </c>
      <c r="G50" s="400">
        <f>C50*D50*0.99114/(F50*1.0037158)</f>
        <v>1.1228556972348047</v>
      </c>
      <c r="H50" s="400">
        <f t="shared" si="78"/>
        <v>1.1371027346637104</v>
      </c>
      <c r="I50" s="400">
        <f>$R$28/$R$30</f>
        <v>0.99544419134396356</v>
      </c>
      <c r="J50" s="32">
        <f t="shared" si="81"/>
        <v>0.87542150853973522</v>
      </c>
      <c r="K50" s="32">
        <f t="shared" si="82"/>
        <v>11.670686617246862</v>
      </c>
      <c r="L50" s="32"/>
      <c r="M50" s="32"/>
      <c r="N50" s="32">
        <v>1</v>
      </c>
      <c r="O50" s="397">
        <f>F50-C50</f>
        <v>-185.5</v>
      </c>
      <c r="P50" s="397">
        <f>R30-R28</f>
        <v>6</v>
      </c>
      <c r="Q50" s="437"/>
    </row>
    <row r="51" spans="1:23">
      <c r="A51" s="94"/>
      <c r="B51" s="113"/>
      <c r="C51" s="113"/>
      <c r="D51" s="94"/>
      <c r="E51" s="94"/>
      <c r="F51" s="94"/>
      <c r="G51" s="94"/>
      <c r="H51" s="94"/>
      <c r="I51" s="94"/>
      <c r="J51" s="94"/>
      <c r="K51" s="94"/>
      <c r="L51" s="94"/>
      <c r="M51" s="94"/>
      <c r="N51" s="94"/>
      <c r="Q51" s="437"/>
      <c r="R51" t="s">
        <v>25</v>
      </c>
    </row>
    <row r="52" spans="1:23" ht="36.75" customHeight="1">
      <c r="A52" s="459" t="s">
        <v>7057</v>
      </c>
      <c r="B52" s="345" t="s">
        <v>1068</v>
      </c>
      <c r="C52" s="44">
        <v>11500000</v>
      </c>
      <c r="D52" s="345">
        <v>1</v>
      </c>
      <c r="E52" s="271" t="s">
        <v>4216</v>
      </c>
      <c r="F52" s="272">
        <v>1349.5</v>
      </c>
      <c r="G52" s="271">
        <f>C52*D52*0.99875/(F52*1.0037158)</f>
        <v>8479.5144212767409</v>
      </c>
      <c r="H52" s="460">
        <f>C52/F52</f>
        <v>8521.6746943312337</v>
      </c>
      <c r="I52" s="461">
        <f>$R$34/$R$28</f>
        <v>8962.6239511823042</v>
      </c>
      <c r="J52" s="20">
        <f>I52/H52</f>
        <v>1.0517444367061322</v>
      </c>
      <c r="K52" s="20">
        <f>(1/J52-1.0153)*100</f>
        <v>-6.4498678785681278</v>
      </c>
      <c r="L52" s="20"/>
      <c r="M52" s="20"/>
      <c r="N52" s="20">
        <f>1</f>
        <v>1</v>
      </c>
      <c r="O52" s="464"/>
      <c r="P52" s="464"/>
      <c r="Q52" s="437"/>
      <c r="W52" t="s">
        <v>25</v>
      </c>
    </row>
    <row r="53" spans="1:23" ht="25.5" customHeight="1">
      <c r="A53" s="459" t="s">
        <v>7056</v>
      </c>
      <c r="B53" s="345" t="s">
        <v>1068</v>
      </c>
      <c r="C53" s="44">
        <v>12700000</v>
      </c>
      <c r="D53" s="345">
        <v>1</v>
      </c>
      <c r="E53" s="271" t="s">
        <v>4216</v>
      </c>
      <c r="F53" s="272">
        <v>1386</v>
      </c>
      <c r="G53" s="271">
        <f>C53*D53*0.99875/(F53*1.0037158)</f>
        <v>9117.725693971679</v>
      </c>
      <c r="H53" s="460">
        <f>C53/F53</f>
        <v>9163.0591630591625</v>
      </c>
      <c r="I53" s="461">
        <f>$R$34/$R$28</f>
        <v>8962.6239511823042</v>
      </c>
      <c r="J53" s="20">
        <f t="shared" ref="J53:J54" si="83">I53/H53</f>
        <v>0.97812573199517117</v>
      </c>
      <c r="K53" s="20">
        <f t="shared" ref="K53:K54" si="84">(1/J53-1.0153)*100</f>
        <v>0.70634521506860448</v>
      </c>
      <c r="L53" s="259" t="s">
        <v>7086</v>
      </c>
      <c r="M53" s="20"/>
      <c r="N53" s="20">
        <f>1</f>
        <v>1</v>
      </c>
      <c r="O53" s="464"/>
      <c r="P53" s="464"/>
      <c r="Q53" s="437" t="s">
        <v>25</v>
      </c>
    </row>
    <row r="54" spans="1:23">
      <c r="A54" s="459"/>
      <c r="B54" s="345"/>
      <c r="C54" s="44"/>
      <c r="D54" s="345"/>
      <c r="E54" s="271" t="s">
        <v>4216</v>
      </c>
      <c r="F54" s="272">
        <v>0</v>
      </c>
      <c r="G54" s="271" t="e">
        <f>C54*D54*0.99875/(F54*1.0037158)</f>
        <v>#DIV/0!</v>
      </c>
      <c r="H54" s="460" t="e">
        <f t="shared" ref="H54" si="85">C54/F54</f>
        <v>#DIV/0!</v>
      </c>
      <c r="I54" s="461">
        <f>$R$34/$R$28</f>
        <v>8962.6239511823042</v>
      </c>
      <c r="J54" s="20" t="e">
        <f t="shared" si="83"/>
        <v>#DIV/0!</v>
      </c>
      <c r="K54" s="20" t="e">
        <f t="shared" si="84"/>
        <v>#DIV/0!</v>
      </c>
      <c r="L54" s="20"/>
      <c r="M54" s="20"/>
      <c r="N54" s="20">
        <f>1</f>
        <v>1</v>
      </c>
      <c r="O54" s="464"/>
      <c r="P54" s="464"/>
    </row>
    <row r="55" spans="1:23">
      <c r="A55" s="94"/>
      <c r="B55" s="94"/>
      <c r="C55" s="94"/>
      <c r="D55" s="94"/>
      <c r="E55" s="94"/>
      <c r="F55" s="94" t="s">
        <v>25</v>
      </c>
      <c r="G55" s="94"/>
      <c r="H55" s="94"/>
      <c r="I55" s="94"/>
      <c r="J55" s="94"/>
      <c r="K55" s="94"/>
      <c r="L55" s="94"/>
      <c r="M55" s="94"/>
      <c r="N55" s="94"/>
    </row>
    <row r="56" spans="1:23" ht="42.75" customHeight="1">
      <c r="A56" s="113"/>
      <c r="B56" s="113"/>
      <c r="C56" s="113"/>
      <c r="D56" s="113"/>
      <c r="E56" s="113"/>
      <c r="F56" s="113"/>
      <c r="G56" s="113"/>
      <c r="H56" s="113"/>
      <c r="I56" s="113"/>
      <c r="J56" s="113"/>
      <c r="K56" s="113"/>
      <c r="L56" s="113"/>
      <c r="M56" s="113"/>
      <c r="N56" s="113"/>
      <c r="S56" t="s">
        <v>25</v>
      </c>
    </row>
    <row r="57" spans="1:23" ht="33" customHeight="1">
      <c r="A57" s="97" t="s">
        <v>5508</v>
      </c>
      <c r="B57" s="97"/>
      <c r="C57" s="97" t="s">
        <v>933</v>
      </c>
      <c r="D57" s="97" t="s">
        <v>6480</v>
      </c>
      <c r="E57" s="97"/>
      <c r="F57" s="97" t="s">
        <v>933</v>
      </c>
      <c r="G57" s="97" t="s">
        <v>6481</v>
      </c>
      <c r="H57" s="97"/>
      <c r="I57" s="97"/>
      <c r="J57" s="97"/>
      <c r="K57" s="97"/>
      <c r="L57" s="97" t="s">
        <v>936</v>
      </c>
      <c r="M57" s="97" t="s">
        <v>5</v>
      </c>
      <c r="N57" s="97" t="s">
        <v>6482</v>
      </c>
      <c r="P57" t="s">
        <v>6483</v>
      </c>
      <c r="R57" t="s">
        <v>25</v>
      </c>
    </row>
    <row r="58" spans="1:23" ht="20.25" customHeight="1">
      <c r="A58" s="97" t="s">
        <v>5498</v>
      </c>
      <c r="B58" s="97" t="s">
        <v>6479</v>
      </c>
      <c r="C58" s="97">
        <v>17800</v>
      </c>
      <c r="D58" s="97">
        <v>916</v>
      </c>
      <c r="E58" s="97" t="s">
        <v>4354</v>
      </c>
      <c r="F58" s="97">
        <v>16472</v>
      </c>
      <c r="G58" s="97">
        <v>916</v>
      </c>
      <c r="H58" s="97"/>
      <c r="I58" s="97"/>
      <c r="J58" s="97"/>
      <c r="K58" s="97"/>
      <c r="L58" s="93">
        <v>987467</v>
      </c>
      <c r="M58" s="93">
        <f>L58/2</f>
        <v>493733.5</v>
      </c>
      <c r="N58" s="97" t="s">
        <v>5498</v>
      </c>
      <c r="P58">
        <v>1086</v>
      </c>
      <c r="Q58" s="94"/>
    </row>
    <row r="59" spans="1:23">
      <c r="A59" s="269" t="s">
        <v>5720</v>
      </c>
      <c r="B59" s="484" t="s">
        <v>6558</v>
      </c>
      <c r="C59" s="269">
        <v>21532</v>
      </c>
      <c r="D59" s="269">
        <v>1859</v>
      </c>
      <c r="E59" s="271" t="s">
        <v>6486</v>
      </c>
      <c r="F59" s="271">
        <v>1187</v>
      </c>
      <c r="G59" s="271">
        <f t="shared" ref="G59:G65" si="86">C59*D59*0.99114/(F59*1.0037158)</f>
        <v>33299.467209851166</v>
      </c>
      <c r="H59" s="271">
        <f t="shared" ref="H59:H65" si="87">C59/F59</f>
        <v>18.139848357203032</v>
      </c>
      <c r="I59" s="271">
        <f t="shared" ref="I59:I64" si="88">$R$31/$R$28</f>
        <v>13.005339435545386</v>
      </c>
      <c r="J59" s="97">
        <f t="shared" ref="J59:J65" si="89">I59/H59</f>
        <v>0.71694863041019752</v>
      </c>
      <c r="K59" s="97">
        <f t="shared" ref="K59:K65" si="90">(1/J59-1.0256)*100</f>
        <v>36.92000701638225</v>
      </c>
      <c r="L59" s="93">
        <v>1600000</v>
      </c>
      <c r="M59" s="93">
        <f t="shared" ref="M59:M68" si="91">L59/2</f>
        <v>800000</v>
      </c>
      <c r="N59" s="97" t="s">
        <v>6477</v>
      </c>
      <c r="Q59" s="94"/>
      <c r="R59" s="94"/>
    </row>
    <row r="60" spans="1:23">
      <c r="A60" s="269" t="s">
        <v>5725</v>
      </c>
      <c r="B60" s="269" t="s">
        <v>6485</v>
      </c>
      <c r="C60" s="269">
        <v>22420.1</v>
      </c>
      <c r="D60" s="284">
        <v>1000</v>
      </c>
      <c r="E60" s="271" t="s">
        <v>6487</v>
      </c>
      <c r="F60" s="271">
        <v>1161</v>
      </c>
      <c r="G60" s="271">
        <f t="shared" si="86"/>
        <v>19069.072437793271</v>
      </c>
      <c r="H60" s="271">
        <f t="shared" si="87"/>
        <v>19.311024978466836</v>
      </c>
      <c r="I60" s="271">
        <f t="shared" si="88"/>
        <v>13.005339435545386</v>
      </c>
      <c r="J60" s="97">
        <f t="shared" si="89"/>
        <v>0.67346707127391026</v>
      </c>
      <c r="K60" s="97">
        <f t="shared" si="90"/>
        <v>45.92535921859249</v>
      </c>
      <c r="L60" s="93">
        <v>19462210</v>
      </c>
      <c r="M60" s="93">
        <f t="shared" si="91"/>
        <v>9731105</v>
      </c>
      <c r="N60" s="97" t="s">
        <v>6472</v>
      </c>
      <c r="Q60" s="94" t="s">
        <v>25</v>
      </c>
      <c r="R60" s="94"/>
    </row>
    <row r="61" spans="1:23">
      <c r="A61" s="269" t="s">
        <v>5726</v>
      </c>
      <c r="B61" s="269" t="s">
        <v>6485</v>
      </c>
      <c r="C61" s="269">
        <v>23233.1</v>
      </c>
      <c r="D61" s="284">
        <v>1000</v>
      </c>
      <c r="E61" s="271" t="s">
        <v>6487</v>
      </c>
      <c r="F61" s="271">
        <v>1152</v>
      </c>
      <c r="G61" s="271">
        <f t="shared" si="86"/>
        <v>19914.936480069027</v>
      </c>
      <c r="H61" s="271">
        <f t="shared" si="87"/>
        <v>20.167621527777776</v>
      </c>
      <c r="I61" s="271">
        <f t="shared" si="88"/>
        <v>13.005339435545386</v>
      </c>
      <c r="J61" s="97">
        <f t="shared" si="89"/>
        <v>0.64486233131817472</v>
      </c>
      <c r="K61" s="97">
        <f t="shared" si="90"/>
        <v>52.51185819892472</v>
      </c>
      <c r="L61" s="93">
        <v>0</v>
      </c>
      <c r="M61" s="93">
        <f t="shared" si="91"/>
        <v>0</v>
      </c>
      <c r="N61" s="97" t="s">
        <v>6472</v>
      </c>
      <c r="Q61" s="94"/>
      <c r="R61" s="94"/>
    </row>
    <row r="62" spans="1:23" ht="24" customHeight="1">
      <c r="A62" s="269" t="s">
        <v>5728</v>
      </c>
      <c r="B62" s="269" t="s">
        <v>6485</v>
      </c>
      <c r="C62" s="269">
        <v>23900</v>
      </c>
      <c r="D62" s="284">
        <v>1000</v>
      </c>
      <c r="E62" s="271" t="s">
        <v>6488</v>
      </c>
      <c r="F62" s="271">
        <v>1153</v>
      </c>
      <c r="G62" s="271">
        <f t="shared" si="86"/>
        <v>20468.821398374203</v>
      </c>
      <c r="H62" s="271">
        <f t="shared" si="87"/>
        <v>20.7285342584562</v>
      </c>
      <c r="I62" s="271">
        <f t="shared" si="88"/>
        <v>13.005339435545386</v>
      </c>
      <c r="J62" s="97">
        <f t="shared" si="89"/>
        <v>0.62741240038426072</v>
      </c>
      <c r="K62" s="97">
        <f t="shared" si="90"/>
        <v>56.824800075284898</v>
      </c>
      <c r="L62" s="93">
        <v>0</v>
      </c>
      <c r="M62" s="93">
        <f t="shared" si="91"/>
        <v>0</v>
      </c>
      <c r="N62" s="97" t="s">
        <v>6472</v>
      </c>
      <c r="P62" t="s">
        <v>25</v>
      </c>
      <c r="Q62" s="94"/>
      <c r="R62" s="94"/>
    </row>
    <row r="63" spans="1:23">
      <c r="A63" s="269" t="s">
        <v>5738</v>
      </c>
      <c r="B63" s="269" t="s">
        <v>6485</v>
      </c>
      <c r="C63" s="269">
        <v>22500</v>
      </c>
      <c r="D63" s="284">
        <v>2000</v>
      </c>
      <c r="E63" s="271" t="s">
        <v>6487</v>
      </c>
      <c r="F63" s="271">
        <v>1093</v>
      </c>
      <c r="G63" s="271">
        <f t="shared" si="86"/>
        <v>40655.246136679802</v>
      </c>
      <c r="H63" s="271">
        <f t="shared" si="87"/>
        <v>20.585544373284538</v>
      </c>
      <c r="I63" s="271">
        <f t="shared" si="88"/>
        <v>13.005339435545386</v>
      </c>
      <c r="J63" s="97">
        <f t="shared" si="89"/>
        <v>0.63177048902449362</v>
      </c>
      <c r="K63" s="97">
        <f t="shared" si="90"/>
        <v>55.725329462615989</v>
      </c>
      <c r="L63" s="93">
        <v>0</v>
      </c>
      <c r="M63" s="93">
        <f t="shared" si="91"/>
        <v>0</v>
      </c>
      <c r="N63" s="97" t="s">
        <v>6472</v>
      </c>
      <c r="Q63" s="94"/>
      <c r="R63" s="94"/>
    </row>
    <row r="64" spans="1:23">
      <c r="A64" s="269" t="s">
        <v>6456</v>
      </c>
      <c r="B64" s="269" t="s">
        <v>6484</v>
      </c>
      <c r="C64" s="269">
        <v>23706</v>
      </c>
      <c r="D64" s="284">
        <v>1000</v>
      </c>
      <c r="E64" s="271" t="s">
        <v>4216</v>
      </c>
      <c r="F64" s="271">
        <v>1155</v>
      </c>
      <c r="G64" s="271">
        <f t="shared" si="86"/>
        <v>20267.516662882761</v>
      </c>
      <c r="H64" s="271">
        <f t="shared" si="87"/>
        <v>20.524675324675325</v>
      </c>
      <c r="I64" s="271">
        <f t="shared" si="88"/>
        <v>13.005339435545386</v>
      </c>
      <c r="J64" s="97">
        <f t="shared" si="89"/>
        <v>0.63364410056757448</v>
      </c>
      <c r="K64" s="97">
        <f t="shared" si="90"/>
        <v>55.257298244277699</v>
      </c>
      <c r="L64" s="93">
        <v>0</v>
      </c>
      <c r="M64" s="93">
        <f t="shared" si="91"/>
        <v>0</v>
      </c>
      <c r="N64" s="97" t="s">
        <v>6472</v>
      </c>
      <c r="Q64" s="94"/>
      <c r="R64" s="94"/>
      <c r="S64" s="94"/>
    </row>
    <row r="65" spans="1:20">
      <c r="A65" s="60" t="s">
        <v>6456</v>
      </c>
      <c r="B65" s="60" t="s">
        <v>4354</v>
      </c>
      <c r="C65" s="60">
        <v>16794</v>
      </c>
      <c r="D65" s="60">
        <v>2227</v>
      </c>
      <c r="E65" s="271" t="s">
        <v>4216</v>
      </c>
      <c r="F65" s="271">
        <v>1146.6500000000001</v>
      </c>
      <c r="G65" s="271">
        <f t="shared" si="86"/>
        <v>32208.294857700886</v>
      </c>
      <c r="H65" s="271">
        <f t="shared" si="87"/>
        <v>14.646143112545239</v>
      </c>
      <c r="I65" s="271">
        <f>$R$32/$R$28</f>
        <v>12.738367658276125</v>
      </c>
      <c r="J65" s="97">
        <f t="shared" si="89"/>
        <v>0.86974212667395023</v>
      </c>
      <c r="K65" s="97">
        <f t="shared" si="90"/>
        <v>12.416608506268311</v>
      </c>
      <c r="L65" s="93">
        <v>3219484</v>
      </c>
      <c r="M65" s="93">
        <f t="shared" si="91"/>
        <v>1609742</v>
      </c>
      <c r="N65" s="97" t="s">
        <v>6462</v>
      </c>
      <c r="P65" t="s">
        <v>25</v>
      </c>
      <c r="Q65" s="94"/>
      <c r="R65" s="94"/>
      <c r="S65" s="94"/>
    </row>
    <row r="66" spans="1:20">
      <c r="A66" s="20" t="s">
        <v>6565</v>
      </c>
      <c r="B66" s="20" t="s">
        <v>6566</v>
      </c>
      <c r="C66" s="20">
        <v>21350</v>
      </c>
      <c r="D66" s="20">
        <v>639</v>
      </c>
      <c r="E66" s="20" t="s">
        <v>4358</v>
      </c>
      <c r="F66" s="20">
        <v>20666.599999999999</v>
      </c>
      <c r="G66" s="20">
        <v>639</v>
      </c>
      <c r="H66" s="20"/>
      <c r="I66" s="20"/>
      <c r="J66" s="20"/>
      <c r="K66" s="20"/>
      <c r="L66" s="342">
        <v>268731</v>
      </c>
      <c r="M66" s="342">
        <f t="shared" si="91"/>
        <v>134365.5</v>
      </c>
      <c r="N66" s="20" t="s">
        <v>6565</v>
      </c>
      <c r="Q66" s="94"/>
      <c r="R66" s="94"/>
      <c r="S66" s="94"/>
    </row>
    <row r="67" spans="1:20">
      <c r="A67" s="97" t="s">
        <v>6575</v>
      </c>
      <c r="B67" s="97" t="s">
        <v>6577</v>
      </c>
      <c r="C67" s="97">
        <v>1286.5</v>
      </c>
      <c r="D67" s="97">
        <v>12000</v>
      </c>
      <c r="E67" s="97" t="s">
        <v>4216</v>
      </c>
      <c r="F67" s="97"/>
      <c r="G67" s="97"/>
      <c r="H67" s="97"/>
      <c r="I67" s="97"/>
      <c r="J67" s="97"/>
      <c r="K67" s="97"/>
      <c r="L67" s="342"/>
      <c r="M67" s="342">
        <f t="shared" si="91"/>
        <v>0</v>
      </c>
      <c r="N67" s="97"/>
      <c r="P67" t="s">
        <v>25</v>
      </c>
      <c r="Q67" s="94"/>
      <c r="R67" s="94"/>
      <c r="S67" s="94"/>
    </row>
    <row r="68" spans="1:20" ht="30">
      <c r="A68" s="97" t="s">
        <v>6576</v>
      </c>
      <c r="B68" s="97" t="s">
        <v>6577</v>
      </c>
      <c r="C68" s="97">
        <v>1275</v>
      </c>
      <c r="D68" s="97">
        <v>9000</v>
      </c>
      <c r="E68" s="97" t="s">
        <v>4216</v>
      </c>
      <c r="F68" s="97">
        <v>1314</v>
      </c>
      <c r="G68" s="97">
        <v>9000</v>
      </c>
      <c r="H68" s="97"/>
      <c r="I68" s="97"/>
      <c r="J68" s="97"/>
      <c r="K68" s="97"/>
      <c r="L68" s="342">
        <v>191456</v>
      </c>
      <c r="M68" s="342">
        <f t="shared" si="91"/>
        <v>95728</v>
      </c>
      <c r="N68" s="36" t="s">
        <v>6591</v>
      </c>
      <c r="Q68" s="94"/>
      <c r="R68" s="94"/>
      <c r="S68" s="94"/>
      <c r="T68" s="94"/>
    </row>
    <row r="69" spans="1:20">
      <c r="A69" s="97" t="s">
        <v>6576</v>
      </c>
      <c r="B69" s="97" t="s">
        <v>6566</v>
      </c>
      <c r="C69" s="97">
        <v>19703</v>
      </c>
      <c r="D69" s="97">
        <v>210</v>
      </c>
      <c r="E69" s="97" t="s">
        <v>4358</v>
      </c>
      <c r="F69" s="97">
        <v>20548.900000000001</v>
      </c>
      <c r="G69" s="97">
        <v>210</v>
      </c>
      <c r="H69" s="97"/>
      <c r="I69" s="97"/>
      <c r="J69" s="97"/>
      <c r="K69" s="97"/>
      <c r="L69" s="342">
        <v>124637</v>
      </c>
      <c r="M69" s="342">
        <f>L69/2</f>
        <v>62318.5</v>
      </c>
      <c r="N69" s="97" t="s">
        <v>6578</v>
      </c>
      <c r="Q69" s="94"/>
      <c r="R69" s="94" t="s">
        <v>25</v>
      </c>
      <c r="S69" s="94"/>
      <c r="T69" s="94"/>
    </row>
    <row r="70" spans="1:20">
      <c r="A70" s="97" t="s">
        <v>6578</v>
      </c>
      <c r="B70" s="97" t="s">
        <v>6577</v>
      </c>
      <c r="C70" s="97">
        <v>1266.5</v>
      </c>
      <c r="D70" s="97">
        <v>8000</v>
      </c>
      <c r="E70" s="97" t="s">
        <v>4216</v>
      </c>
      <c r="F70" s="97">
        <v>1301</v>
      </c>
      <c r="G70" s="97">
        <v>8000</v>
      </c>
      <c r="H70" s="97"/>
      <c r="I70" s="97"/>
      <c r="J70" s="97"/>
      <c r="K70" s="97"/>
      <c r="L70" s="342">
        <v>146805</v>
      </c>
      <c r="M70" s="342">
        <f>L70/2</f>
        <v>73402.5</v>
      </c>
      <c r="N70" s="97" t="s">
        <v>6578</v>
      </c>
      <c r="P70" t="s">
        <v>25</v>
      </c>
      <c r="Q70" s="94"/>
      <c r="R70" s="94"/>
      <c r="S70" s="94"/>
      <c r="T70" s="94"/>
    </row>
    <row r="71" spans="1:20" ht="30">
      <c r="A71" s="36" t="s">
        <v>6592</v>
      </c>
      <c r="B71" s="97" t="s">
        <v>6577</v>
      </c>
      <c r="C71" s="97" t="s">
        <v>6593</v>
      </c>
      <c r="D71" s="97">
        <v>21000</v>
      </c>
      <c r="E71" s="97" t="s">
        <v>4216</v>
      </c>
      <c r="F71" s="97">
        <v>1312</v>
      </c>
      <c r="G71" s="97">
        <v>21000</v>
      </c>
      <c r="H71" s="97"/>
      <c r="I71" s="97"/>
      <c r="J71" s="97"/>
      <c r="K71" s="97"/>
      <c r="L71" s="342">
        <v>345822</v>
      </c>
      <c r="M71" s="342">
        <f>L71/2</f>
        <v>172911</v>
      </c>
      <c r="N71" s="97" t="s">
        <v>6594</v>
      </c>
      <c r="Q71" s="94"/>
      <c r="R71" s="94"/>
      <c r="S71" s="94"/>
      <c r="T71" s="94"/>
    </row>
    <row r="72" spans="1:20" ht="27.75" customHeight="1">
      <c r="A72" s="97"/>
      <c r="B72" s="97"/>
      <c r="C72" s="97"/>
      <c r="D72" s="97"/>
      <c r="E72" s="97"/>
      <c r="F72" s="97"/>
      <c r="G72" s="97"/>
      <c r="H72" s="97"/>
      <c r="I72" s="97"/>
      <c r="J72" s="97"/>
      <c r="K72" s="97" t="s">
        <v>25</v>
      </c>
      <c r="L72" s="342"/>
      <c r="M72" s="342"/>
      <c r="N72" s="97"/>
      <c r="P72" t="s">
        <v>25</v>
      </c>
      <c r="Q72" s="94"/>
      <c r="R72" s="94"/>
      <c r="S72" s="94"/>
      <c r="T72" s="94"/>
    </row>
    <row r="73" spans="1:20">
      <c r="A73" s="94"/>
      <c r="N73" s="94"/>
      <c r="P73" t="s">
        <v>25</v>
      </c>
      <c r="Q73" s="94" t="s">
        <v>25</v>
      </c>
      <c r="R73" s="94"/>
      <c r="S73" s="94"/>
      <c r="T73" s="94"/>
    </row>
    <row r="74" spans="1:20">
      <c r="A74" s="94"/>
      <c r="Q74" s="94"/>
      <c r="R74" s="94"/>
      <c r="S74" s="94"/>
      <c r="T74" s="94"/>
    </row>
    <row r="75" spans="1:20" ht="27.75" customHeight="1">
      <c r="A75" s="97" t="s">
        <v>6473</v>
      </c>
      <c r="B75" s="97"/>
      <c r="C75" s="97" t="s">
        <v>920</v>
      </c>
      <c r="D75" s="97" t="s">
        <v>933</v>
      </c>
      <c r="E75" s="97" t="s">
        <v>920</v>
      </c>
      <c r="F75" s="97" t="s">
        <v>933</v>
      </c>
      <c r="G75" s="97" t="s">
        <v>936</v>
      </c>
      <c r="H75" s="97" t="s">
        <v>5</v>
      </c>
      <c r="I75" s="97" t="s">
        <v>6588</v>
      </c>
      <c r="J75" s="97"/>
      <c r="K75" s="97"/>
      <c r="L75" s="97"/>
      <c r="M75" s="97"/>
      <c r="N75" s="97"/>
      <c r="Q75" s="94"/>
      <c r="R75" s="94"/>
      <c r="S75" s="94"/>
      <c r="T75" s="94"/>
    </row>
    <row r="76" spans="1:20">
      <c r="A76" s="97" t="s">
        <v>6472</v>
      </c>
      <c r="B76" s="97" t="s">
        <v>4216</v>
      </c>
      <c r="C76" s="97">
        <v>33874</v>
      </c>
      <c r="D76" s="112">
        <v>1240</v>
      </c>
      <c r="E76" s="97">
        <v>33874</v>
      </c>
      <c r="F76" s="93">
        <v>1278</v>
      </c>
      <c r="G76" s="93">
        <v>750337</v>
      </c>
      <c r="H76" s="93">
        <f>G76/2</f>
        <v>375168.5</v>
      </c>
      <c r="I76" s="97">
        <v>0</v>
      </c>
      <c r="J76" s="97"/>
      <c r="K76" s="97"/>
      <c r="L76" s="97"/>
      <c r="M76" s="97"/>
      <c r="N76" s="97"/>
      <c r="P76" s="94"/>
      <c r="Q76" s="94"/>
      <c r="R76" s="94"/>
      <c r="S76" s="94"/>
      <c r="T76" s="94"/>
    </row>
    <row r="77" spans="1:20">
      <c r="A77" s="97" t="s">
        <v>6477</v>
      </c>
      <c r="B77" s="97" t="s">
        <v>4216</v>
      </c>
      <c r="C77" s="97">
        <v>33274</v>
      </c>
      <c r="D77" s="97">
        <v>1291</v>
      </c>
      <c r="E77" s="97">
        <v>33274</v>
      </c>
      <c r="F77" s="97">
        <v>1314.3</v>
      </c>
      <c r="G77" s="93">
        <v>229922</v>
      </c>
      <c r="H77" s="93">
        <f>G77/2</f>
        <v>114961</v>
      </c>
      <c r="I77" s="97">
        <v>0</v>
      </c>
      <c r="J77" s="97" t="s">
        <v>25</v>
      </c>
      <c r="K77" s="97"/>
      <c r="L77" s="97"/>
      <c r="M77" s="97"/>
      <c r="N77" s="97"/>
      <c r="P77" s="94"/>
      <c r="Q77" s="94"/>
      <c r="R77" s="94" t="s">
        <v>25</v>
      </c>
      <c r="S77" s="94"/>
      <c r="T77" s="94"/>
    </row>
    <row r="78" spans="1:20">
      <c r="A78" s="97" t="s">
        <v>6569</v>
      </c>
      <c r="B78" s="97" t="s">
        <v>4216</v>
      </c>
      <c r="C78" s="97">
        <v>2838</v>
      </c>
      <c r="D78" s="97">
        <v>1302</v>
      </c>
      <c r="E78" s="97">
        <v>2838</v>
      </c>
      <c r="F78" s="97">
        <v>1320</v>
      </c>
      <c r="G78" s="93">
        <v>4540</v>
      </c>
      <c r="H78" s="93">
        <f>G78/2</f>
        <v>2270</v>
      </c>
      <c r="I78" s="97">
        <v>0</v>
      </c>
      <c r="J78" s="97"/>
      <c r="K78" s="97"/>
      <c r="L78" s="97"/>
      <c r="M78" s="97"/>
      <c r="N78" s="97"/>
      <c r="P78" s="94"/>
      <c r="Q78" s="94"/>
      <c r="R78" s="94" t="s">
        <v>25</v>
      </c>
      <c r="S78" s="94"/>
      <c r="T78" s="94"/>
    </row>
    <row r="79" spans="1:20">
      <c r="A79" s="20" t="s">
        <v>6569</v>
      </c>
      <c r="B79" s="20" t="s">
        <v>4216</v>
      </c>
      <c r="C79" s="20">
        <v>28000</v>
      </c>
      <c r="D79" s="20">
        <v>1302</v>
      </c>
      <c r="E79" s="20">
        <v>28000</v>
      </c>
      <c r="F79" s="20">
        <v>1345</v>
      </c>
      <c r="G79" s="93">
        <v>737130</v>
      </c>
      <c r="H79" s="93">
        <f>G79/2</f>
        <v>368565</v>
      </c>
      <c r="I79" s="20" t="s">
        <v>6574</v>
      </c>
      <c r="J79" s="20"/>
      <c r="K79" s="97"/>
      <c r="L79" s="97"/>
      <c r="M79" s="97"/>
      <c r="N79" s="97"/>
      <c r="P79" s="94"/>
      <c r="Q79" s="94"/>
      <c r="R79" s="94" t="s">
        <v>25</v>
      </c>
      <c r="S79" s="94"/>
      <c r="T79" s="94"/>
    </row>
    <row r="80" spans="1:20">
      <c r="A80" s="159" t="s">
        <v>6574</v>
      </c>
      <c r="B80" s="159" t="s">
        <v>4216</v>
      </c>
      <c r="C80" s="159">
        <v>28000</v>
      </c>
      <c r="D80" s="159">
        <v>1306.5</v>
      </c>
      <c r="E80" s="159">
        <v>28000</v>
      </c>
      <c r="F80" s="159">
        <v>1358.5</v>
      </c>
      <c r="G80" s="159">
        <v>985488</v>
      </c>
      <c r="H80" s="159">
        <f>G80/2</f>
        <v>492744</v>
      </c>
      <c r="I80" s="97" t="s">
        <v>6587</v>
      </c>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t="s">
        <v>25</v>
      </c>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O85" s="94"/>
      <c r="P85" s="94"/>
      <c r="Q85" s="94" t="s">
        <v>25</v>
      </c>
      <c r="R85" s="112" t="s">
        <v>25</v>
      </c>
      <c r="S85" s="94" t="s">
        <v>25</v>
      </c>
      <c r="T85" s="94"/>
    </row>
    <row r="86" spans="1:26">
      <c r="A86" s="94"/>
      <c r="B86" s="94"/>
      <c r="C86" s="94"/>
      <c r="D86" s="94"/>
      <c r="E86" s="94"/>
      <c r="O86" s="94"/>
      <c r="P86" s="94"/>
      <c r="Q86" s="94" t="s">
        <v>25</v>
      </c>
      <c r="R86" s="112"/>
      <c r="S86" s="94" t="s">
        <v>25</v>
      </c>
      <c r="T86" s="94"/>
    </row>
    <row r="87" spans="1:26">
      <c r="A87" s="94"/>
      <c r="B87" s="94">
        <v>1305</v>
      </c>
      <c r="C87" s="94"/>
      <c r="D87" s="94"/>
      <c r="E87" s="94"/>
      <c r="O87" s="94"/>
      <c r="P87" s="94"/>
      <c r="Q87" s="94"/>
      <c r="R87" s="94"/>
      <c r="S87" s="120" t="s">
        <v>25</v>
      </c>
      <c r="T87" s="94"/>
    </row>
    <row r="88" spans="1:26">
      <c r="A88" s="94"/>
      <c r="B88" s="94"/>
      <c r="C88" s="94"/>
      <c r="D88" s="94"/>
      <c r="E88" s="94"/>
      <c r="O88" s="94"/>
      <c r="P88" s="94"/>
      <c r="Q88" s="94"/>
      <c r="R88" s="94"/>
      <c r="S88" s="94" t="s">
        <v>25</v>
      </c>
      <c r="T88" s="94"/>
    </row>
    <row r="89" spans="1:26">
      <c r="A89" s="94">
        <v>900</v>
      </c>
      <c r="B89" s="94">
        <v>620</v>
      </c>
      <c r="C89" s="94">
        <f>$B$87-B89</f>
        <v>685</v>
      </c>
      <c r="D89" s="94">
        <f>(A89-C89)*100/C89</f>
        <v>31.386861313868614</v>
      </c>
      <c r="E89" s="94"/>
      <c r="P89" s="94"/>
      <c r="Q89" s="94"/>
      <c r="S89" s="94" t="s">
        <v>25</v>
      </c>
      <c r="T89" s="94"/>
    </row>
    <row r="90" spans="1:26">
      <c r="A90" s="94">
        <v>1000</v>
      </c>
      <c r="B90" s="94">
        <v>550</v>
      </c>
      <c r="C90" s="458">
        <f>$B$87-B90</f>
        <v>755</v>
      </c>
      <c r="D90" s="458">
        <f>(A90-C90)*100/C90</f>
        <v>32.450331125827816</v>
      </c>
      <c r="E90" s="94"/>
      <c r="O90" s="94"/>
      <c r="P90" s="94"/>
      <c r="Q90" s="94"/>
      <c r="S90" s="94"/>
      <c r="T90" s="94"/>
    </row>
    <row r="91" spans="1:26">
      <c r="A91" s="94">
        <v>1200</v>
      </c>
      <c r="B91" s="94">
        <v>190</v>
      </c>
      <c r="C91" s="458">
        <f>$B$87-B91</f>
        <v>1115</v>
      </c>
      <c r="D91" s="458">
        <f>(A91-C91)*100/C91</f>
        <v>7.623318385650224</v>
      </c>
      <c r="E91" s="94"/>
      <c r="K91" t="s">
        <v>25</v>
      </c>
      <c r="O91" s="94"/>
      <c r="P91" s="94"/>
      <c r="S91" s="94"/>
      <c r="T91" s="94"/>
    </row>
    <row r="92" spans="1:26">
      <c r="A92" s="94">
        <v>1400</v>
      </c>
      <c r="B92">
        <v>70</v>
      </c>
      <c r="C92" s="458">
        <f>$B$87-B92</f>
        <v>1235</v>
      </c>
      <c r="D92" s="458">
        <f>(A92-C92)*100/C92</f>
        <v>13.360323886639677</v>
      </c>
      <c r="H92">
        <v>66597</v>
      </c>
      <c r="J92" t="s">
        <v>25</v>
      </c>
      <c r="O92" s="94"/>
      <c r="P92" s="94"/>
      <c r="S92" s="94"/>
      <c r="T92" s="94"/>
    </row>
    <row r="93" spans="1:26">
      <c r="A93" s="94"/>
      <c r="O93" s="94"/>
      <c r="P93" s="94"/>
      <c r="S93" s="94"/>
      <c r="T93" s="94"/>
    </row>
    <row r="94" spans="1:26">
      <c r="A94" s="94"/>
      <c r="O94" s="94"/>
      <c r="P94" s="94"/>
      <c r="R94" t="s">
        <v>25</v>
      </c>
    </row>
    <row r="95" spans="1:26">
      <c r="A95" s="94"/>
      <c r="H95">
        <v>31500</v>
      </c>
      <c r="O95" s="94"/>
      <c r="P95" s="94"/>
    </row>
    <row r="96" spans="1:26">
      <c r="A96" s="94"/>
      <c r="H96">
        <v>34120</v>
      </c>
      <c r="O96" s="94"/>
      <c r="P96" s="94"/>
      <c r="Z96" t="s">
        <v>25</v>
      </c>
    </row>
    <row r="97" spans="1:27">
      <c r="A97" s="94"/>
      <c r="O97" s="94"/>
      <c r="P97" s="94"/>
      <c r="Q97" t="s">
        <v>25</v>
      </c>
    </row>
    <row r="98" spans="1:27">
      <c r="A98" s="94"/>
      <c r="O98" s="94"/>
      <c r="P98" s="94"/>
    </row>
    <row r="99" spans="1:27">
      <c r="A99" s="94"/>
      <c r="O99" s="94"/>
      <c r="P99" s="94" t="s">
        <v>25</v>
      </c>
      <c r="AA99" t="s">
        <v>25</v>
      </c>
    </row>
    <row r="100" spans="1:27">
      <c r="A100" s="94"/>
      <c r="O100" s="94" t="s">
        <v>25</v>
      </c>
      <c r="P100" s="94" t="s">
        <v>25</v>
      </c>
    </row>
    <row r="101" spans="1:27">
      <c r="A101" s="94"/>
      <c r="O101" s="94"/>
      <c r="P101" s="94"/>
    </row>
    <row r="102" spans="1:27">
      <c r="A102" s="94"/>
      <c r="D102">
        <v>28000</v>
      </c>
      <c r="O102" s="94"/>
      <c r="P102" s="94" t="s">
        <v>25</v>
      </c>
      <c r="Q102" t="s">
        <v>25</v>
      </c>
    </row>
    <row r="103" spans="1:27">
      <c r="A103" s="94"/>
      <c r="O103" s="94" t="s">
        <v>25</v>
      </c>
      <c r="P103" s="94" t="s">
        <v>25</v>
      </c>
    </row>
    <row r="104" spans="1:27">
      <c r="A104" s="94" t="s">
        <v>7039</v>
      </c>
      <c r="B104">
        <v>10330</v>
      </c>
      <c r="C104">
        <v>11900</v>
      </c>
      <c r="D104" s="112">
        <f t="shared" ref="D104:D126" si="92">B104*$D$102</f>
        <v>289240000</v>
      </c>
      <c r="E104" s="112">
        <f t="shared" ref="E104:E126" si="93">C104*$D$102</f>
        <v>333200000</v>
      </c>
      <c r="F104" s="112">
        <v>440000000</v>
      </c>
      <c r="G104">
        <f>(F104-E104)*100/E104</f>
        <v>32.052821128451377</v>
      </c>
      <c r="O104" s="94" t="s">
        <v>25</v>
      </c>
      <c r="P104" s="94" t="s">
        <v>25</v>
      </c>
      <c r="R104" t="s">
        <v>25</v>
      </c>
    </row>
    <row r="105" spans="1:27">
      <c r="A105" s="94" t="s">
        <v>7040</v>
      </c>
      <c r="C105">
        <v>18000</v>
      </c>
      <c r="D105" s="112">
        <f t="shared" si="92"/>
        <v>0</v>
      </c>
      <c r="E105" s="112">
        <f t="shared" si="93"/>
        <v>504000000</v>
      </c>
      <c r="F105" s="112">
        <v>700000000</v>
      </c>
      <c r="G105" s="457">
        <f t="shared" ref="G105:G122" si="94">(F105-E105)*100/E105</f>
        <v>38.888888888888886</v>
      </c>
      <c r="O105" s="94"/>
      <c r="P105" s="94" t="s">
        <v>25</v>
      </c>
    </row>
    <row r="106" spans="1:27">
      <c r="A106" s="94" t="s">
        <v>7041</v>
      </c>
      <c r="C106">
        <v>19000</v>
      </c>
      <c r="D106" s="112">
        <f t="shared" si="92"/>
        <v>0</v>
      </c>
      <c r="E106" s="112">
        <f t="shared" si="93"/>
        <v>532000000</v>
      </c>
      <c r="F106" s="112">
        <v>650000000</v>
      </c>
      <c r="G106" s="457">
        <f t="shared" si="94"/>
        <v>22.180451127819548</v>
      </c>
      <c r="O106" s="94"/>
      <c r="P106" s="94" t="s">
        <v>25</v>
      </c>
    </row>
    <row r="107" spans="1:27">
      <c r="A107" s="94" t="s">
        <v>7042</v>
      </c>
      <c r="C107">
        <v>23000</v>
      </c>
      <c r="D107" s="112">
        <f t="shared" si="92"/>
        <v>0</v>
      </c>
      <c r="E107" s="112">
        <f t="shared" si="93"/>
        <v>644000000</v>
      </c>
      <c r="F107" s="112">
        <v>930000000</v>
      </c>
      <c r="G107" s="457">
        <f t="shared" si="94"/>
        <v>44.409937888198755</v>
      </c>
      <c r="O107" s="94"/>
      <c r="P107" s="94" t="s">
        <v>25</v>
      </c>
      <c r="Z107" t="s">
        <v>25</v>
      </c>
    </row>
    <row r="108" spans="1:27">
      <c r="A108" s="94" t="s">
        <v>7043</v>
      </c>
      <c r="C108">
        <v>13000</v>
      </c>
      <c r="D108" s="112">
        <f t="shared" si="92"/>
        <v>0</v>
      </c>
      <c r="E108" s="112">
        <f t="shared" si="93"/>
        <v>364000000</v>
      </c>
      <c r="F108" s="112">
        <v>600000000</v>
      </c>
      <c r="G108" s="457">
        <f t="shared" si="94"/>
        <v>64.835164835164832</v>
      </c>
      <c r="O108" s="94"/>
      <c r="P108" s="94" t="s">
        <v>25</v>
      </c>
    </row>
    <row r="109" spans="1:27">
      <c r="A109" s="94" t="s">
        <v>7044</v>
      </c>
      <c r="C109">
        <v>13000</v>
      </c>
      <c r="D109" s="112">
        <f t="shared" si="92"/>
        <v>0</v>
      </c>
      <c r="E109" s="112">
        <f t="shared" si="93"/>
        <v>364000000</v>
      </c>
      <c r="F109" s="112">
        <v>400000000</v>
      </c>
      <c r="G109" s="457">
        <f t="shared" si="94"/>
        <v>9.8901098901098905</v>
      </c>
      <c r="O109" s="94"/>
    </row>
    <row r="110" spans="1:27">
      <c r="A110" s="94" t="s">
        <v>7045</v>
      </c>
      <c r="C110">
        <v>13600</v>
      </c>
      <c r="D110" s="112">
        <f t="shared" si="92"/>
        <v>0</v>
      </c>
      <c r="E110" s="112">
        <f t="shared" si="93"/>
        <v>380800000</v>
      </c>
      <c r="F110" s="112">
        <v>520000000</v>
      </c>
      <c r="G110" s="457">
        <f t="shared" si="94"/>
        <v>36.554621848739494</v>
      </c>
      <c r="P110" t="s">
        <v>25</v>
      </c>
    </row>
    <row r="111" spans="1:27">
      <c r="A111" s="94" t="s">
        <v>7046</v>
      </c>
      <c r="C111">
        <v>28000</v>
      </c>
      <c r="D111" s="112">
        <f t="shared" si="92"/>
        <v>0</v>
      </c>
      <c r="E111" s="112">
        <f t="shared" si="93"/>
        <v>784000000</v>
      </c>
      <c r="F111" s="112">
        <v>900000000</v>
      </c>
      <c r="G111" s="457">
        <f t="shared" si="94"/>
        <v>14.795918367346939</v>
      </c>
    </row>
    <row r="112" spans="1:27">
      <c r="A112" s="94" t="s">
        <v>7047</v>
      </c>
      <c r="C112">
        <v>19000</v>
      </c>
      <c r="D112" s="112">
        <f t="shared" si="92"/>
        <v>0</v>
      </c>
      <c r="E112" s="112">
        <f t="shared" si="93"/>
        <v>532000000</v>
      </c>
      <c r="F112" s="112">
        <v>700000000</v>
      </c>
      <c r="G112" s="457">
        <f t="shared" si="94"/>
        <v>31.578947368421051</v>
      </c>
      <c r="O112" t="s">
        <v>25</v>
      </c>
    </row>
    <row r="113" spans="1:19">
      <c r="A113" s="94" t="s">
        <v>7048</v>
      </c>
      <c r="C113">
        <v>15000</v>
      </c>
      <c r="D113" s="112">
        <f t="shared" si="92"/>
        <v>0</v>
      </c>
      <c r="E113" s="112">
        <f t="shared" si="93"/>
        <v>420000000</v>
      </c>
      <c r="F113" s="112">
        <v>700000000</v>
      </c>
      <c r="G113" s="457">
        <f t="shared" si="94"/>
        <v>66.666666666666671</v>
      </c>
      <c r="Q113" t="s">
        <v>25</v>
      </c>
    </row>
    <row r="114" spans="1:19">
      <c r="A114" s="94" t="s">
        <v>7049</v>
      </c>
      <c r="C114">
        <v>21000</v>
      </c>
      <c r="D114" s="112">
        <f t="shared" si="92"/>
        <v>0</v>
      </c>
      <c r="E114" s="112">
        <f t="shared" si="93"/>
        <v>588000000</v>
      </c>
      <c r="F114" s="112">
        <v>700000000</v>
      </c>
      <c r="G114" s="457">
        <f t="shared" si="94"/>
        <v>19.047619047619047</v>
      </c>
      <c r="P114" t="s">
        <v>25</v>
      </c>
      <c r="R114" t="s">
        <v>25</v>
      </c>
    </row>
    <row r="115" spans="1:19" ht="27" customHeight="1">
      <c r="A115" s="94" t="s">
        <v>7050</v>
      </c>
      <c r="C115">
        <v>17000</v>
      </c>
      <c r="D115" s="112">
        <f t="shared" si="92"/>
        <v>0</v>
      </c>
      <c r="E115" s="112">
        <f t="shared" si="93"/>
        <v>476000000</v>
      </c>
      <c r="F115" s="112">
        <v>700000000</v>
      </c>
      <c r="G115" s="457">
        <f t="shared" si="94"/>
        <v>47.058823529411768</v>
      </c>
      <c r="O115" t="s">
        <v>25</v>
      </c>
      <c r="P115" t="s">
        <v>25</v>
      </c>
      <c r="Q115" t="s">
        <v>25</v>
      </c>
      <c r="R115" t="s">
        <v>25</v>
      </c>
    </row>
    <row r="116" spans="1:19">
      <c r="A116" t="s">
        <v>7051</v>
      </c>
      <c r="C116">
        <v>11000</v>
      </c>
      <c r="D116" s="112">
        <f t="shared" si="92"/>
        <v>0</v>
      </c>
      <c r="E116" s="112">
        <f t="shared" si="93"/>
        <v>308000000</v>
      </c>
      <c r="F116" s="112">
        <v>370000000</v>
      </c>
      <c r="G116" s="457">
        <f t="shared" si="94"/>
        <v>20.129870129870131</v>
      </c>
      <c r="P116" t="s">
        <v>25</v>
      </c>
      <c r="R116" s="281" t="s">
        <v>5649</v>
      </c>
    </row>
    <row r="117" spans="1:19">
      <c r="D117" s="112">
        <f t="shared" si="92"/>
        <v>0</v>
      </c>
      <c r="E117" s="112">
        <f t="shared" si="93"/>
        <v>0</v>
      </c>
      <c r="F117" s="112"/>
      <c r="G117" s="457" t="e">
        <f t="shared" si="94"/>
        <v>#DIV/0!</v>
      </c>
      <c r="O117" t="s">
        <v>25</v>
      </c>
      <c r="P117" t="s">
        <v>25</v>
      </c>
      <c r="Q117" t="s">
        <v>25</v>
      </c>
      <c r="R117" t="s">
        <v>25</v>
      </c>
    </row>
    <row r="118" spans="1:19">
      <c r="D118" s="112">
        <f t="shared" si="92"/>
        <v>0</v>
      </c>
      <c r="E118" s="112">
        <f t="shared" si="93"/>
        <v>0</v>
      </c>
      <c r="F118" s="112"/>
      <c r="G118" s="457" t="e">
        <f t="shared" si="94"/>
        <v>#DIV/0!</v>
      </c>
      <c r="R118" t="s">
        <v>25</v>
      </c>
    </row>
    <row r="119" spans="1:19">
      <c r="D119" s="112">
        <f t="shared" si="92"/>
        <v>0</v>
      </c>
      <c r="E119" s="112">
        <f t="shared" si="93"/>
        <v>0</v>
      </c>
      <c r="F119" s="112"/>
      <c r="G119" s="457" t="e">
        <f t="shared" si="94"/>
        <v>#DIV/0!</v>
      </c>
      <c r="P119" t="s">
        <v>25</v>
      </c>
      <c r="R119" t="s">
        <v>25</v>
      </c>
    </row>
    <row r="120" spans="1:19">
      <c r="D120" s="112">
        <f t="shared" si="92"/>
        <v>0</v>
      </c>
      <c r="E120" s="112">
        <f t="shared" si="93"/>
        <v>0</v>
      </c>
      <c r="F120" s="112"/>
      <c r="G120" s="457" t="e">
        <f t="shared" si="94"/>
        <v>#DIV/0!</v>
      </c>
      <c r="P120" t="s">
        <v>25</v>
      </c>
    </row>
    <row r="121" spans="1:19">
      <c r="D121" s="112">
        <f t="shared" si="92"/>
        <v>0</v>
      </c>
      <c r="E121" s="112">
        <f t="shared" si="93"/>
        <v>0</v>
      </c>
      <c r="F121" s="112"/>
      <c r="G121" s="457" t="e">
        <f t="shared" si="94"/>
        <v>#DIV/0!</v>
      </c>
      <c r="P121" t="s">
        <v>25</v>
      </c>
    </row>
    <row r="122" spans="1:19">
      <c r="D122" s="112">
        <f t="shared" si="92"/>
        <v>0</v>
      </c>
      <c r="E122" s="112">
        <f t="shared" si="93"/>
        <v>0</v>
      </c>
      <c r="F122" s="112"/>
      <c r="G122" s="457" t="e">
        <f t="shared" si="94"/>
        <v>#DIV/0!</v>
      </c>
      <c r="O122" t="s">
        <v>25</v>
      </c>
      <c r="P122" t="s">
        <v>25</v>
      </c>
      <c r="R122" t="s">
        <v>25</v>
      </c>
    </row>
    <row r="123" spans="1:19">
      <c r="D123" s="112">
        <f t="shared" si="92"/>
        <v>0</v>
      </c>
      <c r="E123" s="112">
        <f t="shared" si="93"/>
        <v>0</v>
      </c>
      <c r="P123" t="s">
        <v>25</v>
      </c>
      <c r="R123" t="s">
        <v>25</v>
      </c>
      <c r="S123" t="s">
        <v>25</v>
      </c>
    </row>
    <row r="124" spans="1:19">
      <c r="D124" s="112">
        <f t="shared" si="92"/>
        <v>0</v>
      </c>
      <c r="E124" s="112">
        <f t="shared" si="93"/>
        <v>0</v>
      </c>
      <c r="S124" t="s">
        <v>25</v>
      </c>
    </row>
    <row r="125" spans="1:19">
      <c r="D125" s="112">
        <f t="shared" si="92"/>
        <v>0</v>
      </c>
      <c r="E125" s="112">
        <f t="shared" si="93"/>
        <v>0</v>
      </c>
      <c r="S125" t="s">
        <v>25</v>
      </c>
    </row>
    <row r="126" spans="1:19">
      <c r="D126" s="112">
        <f t="shared" si="92"/>
        <v>0</v>
      </c>
      <c r="E126" s="112">
        <f t="shared" si="93"/>
        <v>0</v>
      </c>
      <c r="Q126" t="s">
        <v>25</v>
      </c>
      <c r="R126" t="s">
        <v>25</v>
      </c>
      <c r="S126" t="s">
        <v>25</v>
      </c>
    </row>
    <row r="127" spans="1:19">
      <c r="P127" t="s">
        <v>25</v>
      </c>
      <c r="Q127" t="s">
        <v>25</v>
      </c>
      <c r="S127" t="s">
        <v>25</v>
      </c>
    </row>
    <row r="128" spans="1:19">
      <c r="P128" t="s">
        <v>25</v>
      </c>
      <c r="R128" t="s">
        <v>25</v>
      </c>
    </row>
    <row r="130" spans="15:21">
      <c r="Q130" t="s">
        <v>25</v>
      </c>
      <c r="R130" t="s">
        <v>25</v>
      </c>
      <c r="S130" t="s">
        <v>25</v>
      </c>
      <c r="T130" t="s">
        <v>25</v>
      </c>
    </row>
    <row r="131" spans="15:21">
      <c r="P131" t="s">
        <v>25</v>
      </c>
      <c r="Q131" t="s">
        <v>25</v>
      </c>
      <c r="R131" t="s">
        <v>25</v>
      </c>
      <c r="S131" t="s">
        <v>25</v>
      </c>
    </row>
    <row r="132" spans="15:21">
      <c r="R132" t="s">
        <v>25</v>
      </c>
    </row>
    <row r="133" spans="15:21">
      <c r="P133" t="s">
        <v>25</v>
      </c>
      <c r="Q133" t="s">
        <v>25</v>
      </c>
      <c r="S133" t="s">
        <v>25</v>
      </c>
    </row>
    <row r="134" spans="15:21">
      <c r="P134" t="s">
        <v>25</v>
      </c>
    </row>
    <row r="135" spans="15:21">
      <c r="O135" t="s">
        <v>25</v>
      </c>
      <c r="P135" s="94" t="s">
        <v>25</v>
      </c>
      <c r="R135" t="s">
        <v>25</v>
      </c>
    </row>
    <row r="137" spans="15:21">
      <c r="O137" s="94"/>
      <c r="P137" t="s">
        <v>25</v>
      </c>
      <c r="R137" t="s">
        <v>25</v>
      </c>
      <c r="S137" t="s">
        <v>25</v>
      </c>
    </row>
    <row r="138" spans="15:21">
      <c r="O138" s="94"/>
      <c r="P138" t="s">
        <v>25</v>
      </c>
    </row>
    <row r="139" spans="15:21">
      <c r="O139" s="94" t="s">
        <v>25</v>
      </c>
      <c r="R139" t="s">
        <v>25</v>
      </c>
    </row>
    <row r="140" spans="15:21">
      <c r="O140" t="s">
        <v>25</v>
      </c>
      <c r="R140" t="s">
        <v>25</v>
      </c>
      <c r="U140" t="s">
        <v>25</v>
      </c>
    </row>
    <row r="141" spans="15:21">
      <c r="Q141" t="s">
        <v>25</v>
      </c>
      <c r="R141" t="s">
        <v>25</v>
      </c>
      <c r="S141" t="s">
        <v>25</v>
      </c>
    </row>
    <row r="142" spans="15:21">
      <c r="R142" t="s">
        <v>25</v>
      </c>
    </row>
    <row r="143" spans="15:21">
      <c r="P143" s="94" t="s">
        <v>5499</v>
      </c>
    </row>
    <row r="144" spans="15:21">
      <c r="P144" s="94" t="s">
        <v>5500</v>
      </c>
    </row>
    <row r="145" spans="15:18">
      <c r="P145" s="94" t="s">
        <v>5501</v>
      </c>
    </row>
    <row r="146" spans="15:18">
      <c r="O146" t="s">
        <v>25</v>
      </c>
      <c r="P146" s="94" t="s">
        <v>5502</v>
      </c>
    </row>
    <row r="147" spans="15:18">
      <c r="P147" s="94" t="s">
        <v>5503</v>
      </c>
    </row>
    <row r="148" spans="15:18">
      <c r="P148" s="94" t="s">
        <v>5504</v>
      </c>
    </row>
    <row r="149" spans="15:18">
      <c r="O149" s="94"/>
    </row>
    <row r="150" spans="15:18">
      <c r="O150" s="94"/>
      <c r="P150" t="s">
        <v>25</v>
      </c>
      <c r="Q150" t="s">
        <v>25</v>
      </c>
    </row>
    <row r="151" spans="15:18">
      <c r="O151" s="94"/>
      <c r="Q151" t="s">
        <v>25</v>
      </c>
    </row>
    <row r="152" spans="15:18">
      <c r="O152" s="94"/>
      <c r="P152" t="s">
        <v>25</v>
      </c>
    </row>
    <row r="153" spans="15:18">
      <c r="O153" t="s">
        <v>25</v>
      </c>
    </row>
    <row r="154" spans="15:18">
      <c r="P154" t="s">
        <v>25</v>
      </c>
    </row>
    <row r="155" spans="15:18">
      <c r="P155" t="s">
        <v>25</v>
      </c>
      <c r="R155" t="s">
        <v>25</v>
      </c>
    </row>
    <row r="156" spans="15:18">
      <c r="O156" t="s">
        <v>25</v>
      </c>
    </row>
    <row r="157" spans="15:18">
      <c r="O157" s="94"/>
    </row>
    <row r="158" spans="15:18">
      <c r="O158" s="94" t="s">
        <v>25</v>
      </c>
    </row>
    <row r="160" spans="15:18">
      <c r="O160" t="s">
        <v>25</v>
      </c>
      <c r="P160" t="s">
        <v>25</v>
      </c>
    </row>
    <row r="161" spans="15:16">
      <c r="O161" t="s">
        <v>25</v>
      </c>
    </row>
    <row r="162" spans="15:16">
      <c r="O162" t="s">
        <v>25</v>
      </c>
    </row>
    <row r="166" spans="15:16">
      <c r="P166" t="s">
        <v>25</v>
      </c>
    </row>
    <row r="174" spans="15:16">
      <c r="P174" t="s">
        <v>25</v>
      </c>
    </row>
    <row r="175" spans="15:16">
      <c r="P175" t="s">
        <v>25</v>
      </c>
    </row>
    <row r="177" spans="15:19">
      <c r="P177" t="s">
        <v>25</v>
      </c>
    </row>
    <row r="178" spans="15:19">
      <c r="O178" t="s">
        <v>25</v>
      </c>
    </row>
    <row r="179" spans="15:19">
      <c r="S179" t="s">
        <v>25</v>
      </c>
    </row>
    <row r="193" spans="16:21">
      <c r="P193" t="s">
        <v>25</v>
      </c>
      <c r="U193" t="s">
        <v>25</v>
      </c>
    </row>
    <row r="194" spans="16:21">
      <c r="Q194" t="s">
        <v>25</v>
      </c>
    </row>
    <row r="204" spans="16:21">
      <c r="P204" t="s">
        <v>25</v>
      </c>
    </row>
    <row r="213" spans="15:16">
      <c r="P213" t="s">
        <v>25</v>
      </c>
    </row>
    <row r="218" spans="15:16">
      <c r="O218" s="94"/>
    </row>
    <row r="219" spans="15:16">
      <c r="O219" s="94" t="s">
        <v>25</v>
      </c>
    </row>
    <row r="220" spans="15:16">
      <c r="O220" s="94"/>
      <c r="P220" t="s">
        <v>25</v>
      </c>
    </row>
    <row r="221" spans="15:16">
      <c r="O221" s="94" t="s">
        <v>25</v>
      </c>
    </row>
    <row r="222" spans="15:16">
      <c r="O222" s="94"/>
    </row>
    <row r="223" spans="15:16">
      <c r="O223" s="94"/>
    </row>
  </sheetData>
  <conditionalFormatting sqref="K66 K1:K51">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59:K65">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52:K54">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1" t="s">
        <v>6489</v>
      </c>
      <c r="C1" s="491"/>
      <c r="D1" s="491" t="s">
        <v>6490</v>
      </c>
      <c r="E1" s="491"/>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2" t="s">
        <v>1071</v>
      </c>
      <c r="R21" s="492"/>
      <c r="S21" s="492"/>
      <c r="T21" s="492"/>
      <c r="U21" s="94"/>
      <c r="V21" s="94"/>
      <c r="W21" s="41" t="s">
        <v>4942</v>
      </c>
      <c r="X21" s="41">
        <v>9035210431</v>
      </c>
      <c r="Y21" s="41">
        <v>50</v>
      </c>
      <c r="Z21" s="41" t="s">
        <v>5204</v>
      </c>
      <c r="AA21" t="s">
        <v>4960</v>
      </c>
    </row>
    <row r="22" spans="5:35">
      <c r="O22" s="97"/>
      <c r="P22" s="97"/>
      <c r="Q22" s="492"/>
      <c r="R22" s="492"/>
      <c r="S22" s="492"/>
      <c r="T22" s="492"/>
      <c r="U22" s="94"/>
      <c r="V22" s="94"/>
      <c r="W22" s="41" t="s">
        <v>5029</v>
      </c>
      <c r="X22" s="41">
        <v>9909620343</v>
      </c>
      <c r="Y22" s="41">
        <v>200</v>
      </c>
      <c r="Z22" s="41" t="s">
        <v>5205</v>
      </c>
      <c r="AA22" t="s">
        <v>5208</v>
      </c>
      <c r="AB22" s="41" t="s">
        <v>5216</v>
      </c>
    </row>
    <row r="23" spans="5:35" ht="15.75">
      <c r="O23" s="176"/>
      <c r="P23" s="97" t="s">
        <v>4067</v>
      </c>
      <c r="Q23" s="493" t="s">
        <v>1072</v>
      </c>
      <c r="R23" s="494" t="s">
        <v>1073</v>
      </c>
      <c r="S23" s="493" t="s">
        <v>1074</v>
      </c>
      <c r="T23" s="495" t="s">
        <v>1075</v>
      </c>
      <c r="W23" s="41" t="s">
        <v>5030</v>
      </c>
      <c r="X23" s="41">
        <v>9378807702</v>
      </c>
      <c r="Y23" s="41">
        <v>0</v>
      </c>
      <c r="Z23" s="41">
        <v>0</v>
      </c>
      <c r="AD23" t="s">
        <v>25</v>
      </c>
    </row>
    <row r="24" spans="5:35">
      <c r="O24" s="97"/>
      <c r="P24" s="97"/>
      <c r="Q24" s="493"/>
      <c r="R24" s="494"/>
      <c r="S24" s="493"/>
      <c r="T24" s="495"/>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1308</v>
      </c>
      <c r="H4" s="115">
        <f>C4*G4</f>
        <v>385860000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411219191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1308</v>
      </c>
      <c r="H19" s="115">
        <f>C19*G19</f>
        <v>16920288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287683571</v>
      </c>
    </row>
    <row r="26" spans="1:8">
      <c r="D26" t="s">
        <v>5384</v>
      </c>
      <c r="E26" s="112">
        <f>'خرید خانه'!H10+'خرید خانه'!H23-'خرید خانه'!D10-'خرید خانه'!D23</f>
        <v>397202762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2022-01-22T09:07:58Z</dcterms:modified>
</cp:coreProperties>
</file>